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T:\20_CoC Environment\2 EICC - CMRT\CMRT aktuell &amp; in Arbeit\"/>
    </mc:Choice>
  </mc:AlternateContent>
  <xr:revisionPtr revIDLastSave="0" documentId="13_ncr:1_{410B9659-0084-4BE1-AA9D-81576776504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5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5" l="1"/>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6" i="5" s="1"/>
  <c r="C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s="1"/>
  <c r="B56" i="6"/>
  <c r="G56" i="6"/>
  <c r="B55" i="6"/>
  <c r="G55" i="6"/>
  <c r="B54" i="6"/>
  <c r="G54" i="6"/>
  <c r="B17" i="6"/>
  <c r="B16" i="6"/>
  <c r="B15" i="6"/>
  <c r="B14" i="6"/>
  <c r="G14" i="6"/>
  <c r="H14" i="6" s="1"/>
  <c r="H13" i="6"/>
  <c r="B12" i="6"/>
  <c r="G12" i="6"/>
  <c r="H12" i="6" s="1"/>
  <c r="D12" i="6" s="1"/>
  <c r="B11" i="6"/>
  <c r="G11" i="6" s="1"/>
  <c r="H11" i="6" s="1"/>
  <c r="D11" i="6" s="1"/>
  <c r="G10" i="6"/>
  <c r="H10" i="6"/>
  <c r="D10" i="6" s="1"/>
  <c r="G9" i="6"/>
  <c r="H9" i="6"/>
  <c r="D9" i="6" s="1"/>
  <c r="B8" i="6"/>
  <c r="G8" i="6" s="1"/>
  <c r="H8" i="6" s="1"/>
  <c r="D8" i="6" s="1"/>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B90" i="4"/>
  <c r="H67" i="4"/>
  <c r="P47" i="4"/>
  <c r="P46" i="4"/>
  <c r="P45" i="4"/>
  <c r="P44" i="4"/>
  <c r="B44" i="4" s="1"/>
  <c r="A29" i="6" s="1"/>
  <c r="P43" i="4"/>
  <c r="Q43" i="4" s="1"/>
  <c r="P41" i="4"/>
  <c r="P40" i="4"/>
  <c r="B40" i="4" s="1"/>
  <c r="B58" i="4" s="1"/>
  <c r="A41" i="6" s="1"/>
  <c r="P39" i="4"/>
  <c r="B39" i="4" s="1"/>
  <c r="B69" i="4" s="1"/>
  <c r="A50" i="6" s="1"/>
  <c r="P38" i="4"/>
  <c r="P37" i="4"/>
  <c r="Q37" i="4" s="1"/>
  <c r="P35" i="4"/>
  <c r="P34" i="4"/>
  <c r="P33" i="4"/>
  <c r="P32" i="4"/>
  <c r="P31" i="4"/>
  <c r="Q31" i="4" s="1"/>
  <c r="P29" i="4"/>
  <c r="P28" i="4"/>
  <c r="P27" i="4"/>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I46"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G22" i="6" s="1"/>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B45" i="6" s="1"/>
  <c r="G45" i="6" s="1"/>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H51" i="6" s="1"/>
  <c r="D51" i="6" s="1"/>
  <c r="G16" i="6"/>
  <c r="H16" i="6" s="1"/>
  <c r="B19" i="6"/>
  <c r="B29" i="6" s="1"/>
  <c r="G29" i="6" s="1"/>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24" i="6"/>
  <c r="F44" i="6" s="1"/>
  <c r="H44" i="6" s="1"/>
  <c r="D44" i="6" s="1"/>
  <c r="B44" i="6"/>
  <c r="G44" i="6"/>
  <c r="B24" i="6"/>
  <c r="G24"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s="1"/>
  <c r="G20" i="6"/>
  <c r="H20" i="6" s="1"/>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s="1"/>
  <c r="D41" i="6" s="1"/>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S599" i="5"/>
  <c r="S611" i="5"/>
  <c r="S601" i="5"/>
  <c r="S600" i="5"/>
  <c r="S382" i="5"/>
  <c r="S533" i="5"/>
  <c r="S355" i="5"/>
  <c r="S602" i="5"/>
  <c r="S603" i="5"/>
  <c r="S605" i="5"/>
  <c r="S607" i="5"/>
  <c r="S314" i="5"/>
  <c r="H46" i="6"/>
  <c r="D46"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28" i="5" l="1"/>
  <c r="B34" i="5"/>
  <c r="C34" i="5"/>
  <c r="C33" i="5"/>
  <c r="B33" i="5"/>
  <c r="C32" i="5"/>
  <c r="AB32" i="5" s="1"/>
  <c r="C31" i="5"/>
  <c r="B31" i="5"/>
  <c r="B24" i="5"/>
  <c r="B30" i="5"/>
  <c r="C30" i="5"/>
  <c r="B29" i="5"/>
  <c r="C29" i="5"/>
  <c r="C28" i="5"/>
  <c r="B27" i="5"/>
  <c r="B20" i="5"/>
  <c r="C27" i="5"/>
  <c r="B26" i="5"/>
  <c r="C26" i="5"/>
  <c r="B25" i="5"/>
  <c r="C25" i="5"/>
  <c r="C24" i="5"/>
  <c r="AB24" i="5" s="1"/>
  <c r="C23" i="5"/>
  <c r="B23" i="5"/>
  <c r="B16" i="5"/>
  <c r="B22" i="5"/>
  <c r="B21" i="5"/>
  <c r="C22" i="5"/>
  <c r="C21" i="5"/>
  <c r="C20" i="5"/>
  <c r="B19" i="5"/>
  <c r="B15" i="5"/>
  <c r="C19" i="5"/>
  <c r="B18" i="5"/>
  <c r="C18" i="5"/>
  <c r="B17" i="5"/>
  <c r="C17" i="5"/>
  <c r="C16" i="5"/>
  <c r="C15" i="5"/>
  <c r="C14" i="5"/>
  <c r="C5" i="5"/>
  <c r="V5" i="5" s="1"/>
  <c r="E5" i="5" s="1"/>
  <c r="B14" i="5"/>
  <c r="B13" i="5"/>
  <c r="C13" i="5"/>
  <c r="C12" i="5"/>
  <c r="B12" i="5"/>
  <c r="B11" i="5"/>
  <c r="C11" i="5"/>
  <c r="B10" i="5"/>
  <c r="C10" i="5"/>
  <c r="B9" i="5"/>
  <c r="C9" i="5"/>
  <c r="C8" i="5"/>
  <c r="B8" i="5"/>
  <c r="C7" i="5"/>
  <c r="B7" i="5"/>
  <c r="B6" i="5"/>
  <c r="V6" i="5" s="1"/>
  <c r="G6" i="5" s="1"/>
  <c r="F27" i="6"/>
  <c r="F47" i="6" s="1"/>
  <c r="H22" i="6"/>
  <c r="D22" i="6" s="1"/>
  <c r="H36" i="6"/>
  <c r="D36" i="6" s="1"/>
  <c r="H31" i="6"/>
  <c r="D31" i="6" s="1"/>
  <c r="D67" i="4"/>
  <c r="D17" i="6"/>
  <c r="K68" i="6"/>
  <c r="C17" i="6"/>
  <c r="F32" i="6"/>
  <c r="C46" i="6"/>
  <c r="B42" i="6"/>
  <c r="G42" i="6" s="1"/>
  <c r="B37" i="6"/>
  <c r="G37" i="6" s="1"/>
  <c r="B52" i="6"/>
  <c r="G52" i="6" s="1"/>
  <c r="B27" i="6"/>
  <c r="G27" i="6" s="1"/>
  <c r="H27" i="6" s="1"/>
  <c r="B32" i="6"/>
  <c r="G32" i="6" s="1"/>
  <c r="B47" i="6"/>
  <c r="G47" i="6" s="1"/>
  <c r="K67" i="6"/>
  <c r="D16" i="6"/>
  <c r="C51" i="6"/>
  <c r="D74" i="4"/>
  <c r="C21" i="6"/>
  <c r="C16" i="6"/>
  <c r="D37" i="4"/>
  <c r="C10" i="6"/>
  <c r="C26" i="6"/>
  <c r="D43" i="4"/>
  <c r="D61" i="4"/>
  <c r="B35" i="4"/>
  <c r="A22" i="6" s="1"/>
  <c r="D55" i="4"/>
  <c r="D31" i="4"/>
  <c r="C41" i="6"/>
  <c r="D15" i="6"/>
  <c r="K66" i="6"/>
  <c r="B35" i="6"/>
  <c r="G35" i="6" s="1"/>
  <c r="F50" i="6"/>
  <c r="B30" i="6"/>
  <c r="G30" i="6" s="1"/>
  <c r="H30" i="6" s="1"/>
  <c r="D30" i="6" s="1"/>
  <c r="F45" i="6"/>
  <c r="H45" i="6" s="1"/>
  <c r="F66" i="6"/>
  <c r="B25" i="6"/>
  <c r="G25" i="6" s="1"/>
  <c r="H25" i="6" s="1"/>
  <c r="B50" i="6"/>
  <c r="G50" i="6" s="1"/>
  <c r="F35" i="6"/>
  <c r="B40" i="6"/>
  <c r="G40" i="6" s="1"/>
  <c r="C15" i="6"/>
  <c r="F40" i="6"/>
  <c r="C20" i="6"/>
  <c r="D14" i="6"/>
  <c r="B61" i="4"/>
  <c r="A43" i="6" s="1"/>
  <c r="B49" i="4"/>
  <c r="A33" i="6" s="1"/>
  <c r="B87" i="4"/>
  <c r="A62" i="6" s="1"/>
  <c r="B75" i="4"/>
  <c r="A54" i="6" s="1"/>
  <c r="B85" i="4"/>
  <c r="A60" i="6" s="1"/>
  <c r="B67" i="4"/>
  <c r="A48" i="6" s="1"/>
  <c r="B79" i="4"/>
  <c r="A57" i="6" s="1"/>
  <c r="B37" i="4"/>
  <c r="A23" i="6" s="1"/>
  <c r="B77" i="4"/>
  <c r="A55" i="6" s="1"/>
  <c r="B31" i="4"/>
  <c r="A18" i="6" s="1"/>
  <c r="B83" i="4"/>
  <c r="A59" i="6" s="1"/>
  <c r="B43" i="4"/>
  <c r="A28" i="6" s="1"/>
  <c r="B55" i="4"/>
  <c r="A38" i="6" s="1"/>
  <c r="B81" i="4"/>
  <c r="A58" i="6" s="1"/>
  <c r="B89" i="4"/>
  <c r="A63" i="6" s="1"/>
  <c r="C14" i="6"/>
  <c r="B39" i="6"/>
  <c r="G39" i="6" s="1"/>
  <c r="F29" i="6"/>
  <c r="H29" i="6" s="1"/>
  <c r="D29" i="6" s="1"/>
  <c r="G19" i="6"/>
  <c r="H19" i="6" s="1"/>
  <c r="D19" i="6" s="1"/>
  <c r="H24" i="6"/>
  <c r="D24" i="6" s="1"/>
  <c r="F49" i="6"/>
  <c r="H49" i="6" s="1"/>
  <c r="D49" i="6" s="1"/>
  <c r="C29" i="6"/>
  <c r="F65" i="6"/>
  <c r="C19" i="6"/>
  <c r="B34" i="6"/>
  <c r="G34" i="6" s="1"/>
  <c r="F54" i="6"/>
  <c r="F34" i="6"/>
  <c r="H34" i="6" s="1"/>
  <c r="D34" i="6" s="1"/>
  <c r="C44" i="6"/>
  <c r="F39" i="6"/>
  <c r="B49" i="6"/>
  <c r="G49" i="6" s="1"/>
  <c r="C12" i="6"/>
  <c r="B34" i="4"/>
  <c r="A21" i="6" s="1"/>
  <c r="C11" i="6"/>
  <c r="C9" i="6"/>
  <c r="C8" i="6"/>
  <c r="C7" i="6"/>
  <c r="C6" i="6"/>
  <c r="C5" i="6"/>
  <c r="A26" i="6"/>
  <c r="B64" i="4"/>
  <c r="A46" i="6" s="1"/>
  <c r="C4" i="6"/>
  <c r="B52" i="4"/>
  <c r="A36" i="6" s="1"/>
  <c r="B57" i="4"/>
  <c r="A40" i="6" s="1"/>
  <c r="B70" i="4"/>
  <c r="A51" i="6" s="1"/>
  <c r="A25" i="6"/>
  <c r="B59" i="4"/>
  <c r="A42" i="6" s="1"/>
  <c r="B71" i="4"/>
  <c r="A52" i="6" s="1"/>
  <c r="B51" i="4"/>
  <c r="A35" i="6" s="1"/>
  <c r="B53" i="4"/>
  <c r="A37" i="6" s="1"/>
  <c r="B33" i="4"/>
  <c r="A20" i="6" s="1"/>
  <c r="B65" i="4"/>
  <c r="A47" i="6" s="1"/>
  <c r="G55" i="4"/>
  <c r="B63" i="4"/>
  <c r="A45" i="6" s="1"/>
  <c r="G64" i="6"/>
  <c r="G49" i="4"/>
  <c r="A14" i="6"/>
  <c r="G74" i="4"/>
  <c r="B56" i="4"/>
  <c r="A39" i="6" s="1"/>
  <c r="G37" i="4"/>
  <c r="G67" i="4"/>
  <c r="G43" i="4"/>
  <c r="B50" i="4"/>
  <c r="A34" i="6" s="1"/>
  <c r="G31" i="4"/>
  <c r="B62" i="4"/>
  <c r="A44" i="6" s="1"/>
  <c r="B68" i="4"/>
  <c r="A49" i="6" s="1"/>
  <c r="V34" i="5" l="1"/>
  <c r="AB34" i="5"/>
  <c r="V33" i="5"/>
  <c r="AB33" i="5"/>
  <c r="V32" i="5"/>
  <c r="G32" i="5" s="1"/>
  <c r="AB31" i="5"/>
  <c r="V31" i="5"/>
  <c r="G31" i="5" s="1"/>
  <c r="V30" i="5"/>
  <c r="AB30" i="5"/>
  <c r="V29" i="5"/>
  <c r="G29" i="5" s="1"/>
  <c r="AB29" i="5"/>
  <c r="V28" i="5"/>
  <c r="G28" i="5" s="1"/>
  <c r="AB28" i="5"/>
  <c r="V27" i="5"/>
  <c r="AB27" i="5"/>
  <c r="V26" i="5"/>
  <c r="AB26" i="5"/>
  <c r="V25" i="5"/>
  <c r="AB25" i="5"/>
  <c r="V24" i="5"/>
  <c r="V16" i="5"/>
  <c r="R16" i="5" s="1"/>
  <c r="AB23" i="5"/>
  <c r="V23" i="5"/>
  <c r="G23" i="5" s="1"/>
  <c r="V22" i="5"/>
  <c r="G22" i="5" s="1"/>
  <c r="AB22" i="5"/>
  <c r="AB5" i="5"/>
  <c r="V21" i="5"/>
  <c r="AB21" i="5"/>
  <c r="V20" i="5"/>
  <c r="AB20" i="5"/>
  <c r="V19" i="5"/>
  <c r="AB19" i="5"/>
  <c r="AB16" i="5"/>
  <c r="V18" i="5"/>
  <c r="G18" i="5" s="1"/>
  <c r="AB18" i="5"/>
  <c r="V17" i="5"/>
  <c r="G17" i="5" s="1"/>
  <c r="AB17" i="5"/>
  <c r="V15" i="5"/>
  <c r="AB15" i="5"/>
  <c r="F5" i="5"/>
  <c r="J5" i="5"/>
  <c r="H5" i="5"/>
  <c r="I5" i="5"/>
  <c r="G5" i="5"/>
  <c r="R5" i="5"/>
  <c r="AB14" i="5"/>
  <c r="V14" i="5"/>
  <c r="G14" i="5" s="1"/>
  <c r="F69" i="6"/>
  <c r="C69" i="6" s="1"/>
  <c r="V13" i="5"/>
  <c r="G13" i="5" s="1"/>
  <c r="AB13" i="5"/>
  <c r="AB12" i="5"/>
  <c r="V12" i="5"/>
  <c r="V11" i="5"/>
  <c r="AB11" i="5"/>
  <c r="V10" i="5"/>
  <c r="AB10" i="5"/>
  <c r="V9" i="5"/>
  <c r="G9" i="5" s="1"/>
  <c r="AB9" i="5"/>
  <c r="AB8" i="5"/>
  <c r="V8" i="5"/>
  <c r="AB7" i="5"/>
  <c r="V7" i="5"/>
  <c r="G7" i="5" s="1"/>
  <c r="AB6" i="5"/>
  <c r="E6" i="5"/>
  <c r="I6" i="5"/>
  <c r="J6" i="5"/>
  <c r="H6" i="5"/>
  <c r="R6" i="5"/>
  <c r="F6" i="5"/>
  <c r="X5" i="5"/>
  <c r="H47" i="6"/>
  <c r="D47" i="6" s="1"/>
  <c r="C36" i="6"/>
  <c r="C31" i="6"/>
  <c r="F52" i="6"/>
  <c r="H52" i="6" s="1"/>
  <c r="F68" i="6"/>
  <c r="F42" i="6"/>
  <c r="F37" i="6"/>
  <c r="C22" i="6"/>
  <c r="C27" i="6"/>
  <c r="D27" i="6"/>
  <c r="H32" i="6"/>
  <c r="H42" i="6"/>
  <c r="H37" i="6"/>
  <c r="D25" i="6"/>
  <c r="C25" i="6"/>
  <c r="C30" i="6"/>
  <c r="D45" i="6"/>
  <c r="C45" i="6"/>
  <c r="H50" i="6"/>
  <c r="H40" i="6"/>
  <c r="H35" i="6"/>
  <c r="H39" i="6"/>
  <c r="C49" i="6"/>
  <c r="C34" i="6"/>
  <c r="F62" i="6"/>
  <c r="H62" i="6" s="1"/>
  <c r="F58" i="6"/>
  <c r="H58" i="6" s="1"/>
  <c r="F60" i="6"/>
  <c r="H60" i="6" s="1"/>
  <c r="F59" i="6"/>
  <c r="H59" i="6" s="1"/>
  <c r="F63" i="6"/>
  <c r="H63" i="6" s="1"/>
  <c r="F55" i="6"/>
  <c r="F57" i="6"/>
  <c r="H57" i="6" s="1"/>
  <c r="H54" i="6"/>
  <c r="C2" i="6"/>
  <c r="B2" i="6"/>
  <c r="C24" i="6"/>
  <c r="K65" i="6"/>
  <c r="B64" i="6"/>
  <c r="H64" i="6"/>
  <c r="S5" i="5"/>
  <c r="E34" i="5" l="1"/>
  <c r="F34" i="5"/>
  <c r="J34" i="5"/>
  <c r="H34" i="5"/>
  <c r="R34" i="5"/>
  <c r="I34" i="5"/>
  <c r="G34" i="5"/>
  <c r="R33" i="5"/>
  <c r="J33" i="5"/>
  <c r="H33" i="5"/>
  <c r="G33" i="5"/>
  <c r="I33" i="5"/>
  <c r="E33" i="5"/>
  <c r="F33" i="5"/>
  <c r="R32" i="5"/>
  <c r="E32" i="5"/>
  <c r="H32" i="5"/>
  <c r="J32" i="5"/>
  <c r="F32" i="5"/>
  <c r="I32" i="5"/>
  <c r="H31" i="5"/>
  <c r="J31" i="5"/>
  <c r="F31" i="5"/>
  <c r="R31" i="5"/>
  <c r="E31" i="5"/>
  <c r="I31" i="5"/>
  <c r="F30" i="5"/>
  <c r="J30" i="5"/>
  <c r="R30" i="5"/>
  <c r="H30" i="5"/>
  <c r="E30" i="5"/>
  <c r="I30" i="5"/>
  <c r="G30" i="5"/>
  <c r="G16" i="5"/>
  <c r="E16" i="5"/>
  <c r="I29" i="5"/>
  <c r="E29" i="5"/>
  <c r="R29" i="5"/>
  <c r="F29" i="5"/>
  <c r="J29" i="5"/>
  <c r="H29" i="5"/>
  <c r="I16" i="5"/>
  <c r="I28" i="5"/>
  <c r="R28" i="5"/>
  <c r="E28" i="5"/>
  <c r="H28" i="5"/>
  <c r="J28" i="5"/>
  <c r="F28" i="5"/>
  <c r="H16" i="5"/>
  <c r="R27" i="5"/>
  <c r="J27" i="5"/>
  <c r="I27" i="5"/>
  <c r="E27" i="5"/>
  <c r="F27" i="5"/>
  <c r="H27" i="5"/>
  <c r="G27" i="5"/>
  <c r="J26" i="5"/>
  <c r="R26" i="5"/>
  <c r="H26" i="5"/>
  <c r="E26" i="5"/>
  <c r="I26" i="5"/>
  <c r="F26" i="5"/>
  <c r="G26" i="5"/>
  <c r="F25" i="5"/>
  <c r="J25" i="5"/>
  <c r="R25" i="5"/>
  <c r="E25" i="5"/>
  <c r="I25" i="5"/>
  <c r="H25" i="5"/>
  <c r="G25" i="5"/>
  <c r="J16" i="5"/>
  <c r="F16" i="5"/>
  <c r="I24" i="5"/>
  <c r="J24" i="5"/>
  <c r="H24" i="5"/>
  <c r="F24" i="5"/>
  <c r="R24" i="5"/>
  <c r="E24" i="5"/>
  <c r="G24" i="5"/>
  <c r="J23" i="5"/>
  <c r="F23" i="5"/>
  <c r="H23" i="5"/>
  <c r="E23" i="5"/>
  <c r="R23" i="5"/>
  <c r="I23" i="5"/>
  <c r="G65" i="6"/>
  <c r="H65" i="6" s="1"/>
  <c r="D65" i="6" s="1"/>
  <c r="R22" i="5"/>
  <c r="H22" i="5"/>
  <c r="E22" i="5"/>
  <c r="F22" i="5"/>
  <c r="I22" i="5"/>
  <c r="J22" i="5"/>
  <c r="H21" i="5"/>
  <c r="J21" i="5"/>
  <c r="F21" i="5"/>
  <c r="E21" i="5"/>
  <c r="R21" i="5"/>
  <c r="I21" i="5"/>
  <c r="G21" i="5"/>
  <c r="I20" i="5"/>
  <c r="R20" i="5"/>
  <c r="F20" i="5"/>
  <c r="E20" i="5"/>
  <c r="H20" i="5"/>
  <c r="J20" i="5"/>
  <c r="G20" i="5"/>
  <c r="F19" i="5"/>
  <c r="H19" i="5"/>
  <c r="R19" i="5"/>
  <c r="J19" i="5"/>
  <c r="I19" i="5"/>
  <c r="E19" i="5"/>
  <c r="G19" i="5"/>
  <c r="E18" i="5"/>
  <c r="I18" i="5"/>
  <c r="H18" i="5"/>
  <c r="R18" i="5"/>
  <c r="J18" i="5"/>
  <c r="F18" i="5"/>
  <c r="J17" i="5"/>
  <c r="E17" i="5"/>
  <c r="I17" i="5"/>
  <c r="H17" i="5"/>
  <c r="R17" i="5"/>
  <c r="F17" i="5"/>
  <c r="E15" i="5"/>
  <c r="H15" i="5"/>
  <c r="J15" i="5"/>
  <c r="R15" i="5"/>
  <c r="I15" i="5"/>
  <c r="F15" i="5"/>
  <c r="G15" i="5"/>
  <c r="G66" i="6"/>
  <c r="H66" i="6" s="1"/>
  <c r="D66" i="6" s="1"/>
  <c r="G67" i="6"/>
  <c r="H67" i="6" s="1"/>
  <c r="D67" i="6" s="1"/>
  <c r="G68" i="6"/>
  <c r="H68" i="6" s="1"/>
  <c r="H14" i="5"/>
  <c r="I14" i="5"/>
  <c r="E14" i="5"/>
  <c r="R14" i="5"/>
  <c r="F14" i="5"/>
  <c r="J14" i="5"/>
  <c r="E13" i="5"/>
  <c r="H13" i="5"/>
  <c r="R13" i="5"/>
  <c r="J13" i="5"/>
  <c r="F13" i="5"/>
  <c r="I13" i="5"/>
  <c r="H12" i="5"/>
  <c r="E12" i="5"/>
  <c r="I12" i="5"/>
  <c r="G12" i="5"/>
  <c r="J12" i="5"/>
  <c r="R12" i="5"/>
  <c r="F12" i="5"/>
  <c r="F11" i="5"/>
  <c r="I11" i="5"/>
  <c r="J11" i="5"/>
  <c r="R11" i="5"/>
  <c r="E11" i="5"/>
  <c r="H11" i="5"/>
  <c r="G11" i="5"/>
  <c r="F10" i="5"/>
  <c r="R10" i="5"/>
  <c r="H10" i="5"/>
  <c r="J10" i="5"/>
  <c r="E10" i="5"/>
  <c r="I10" i="5"/>
  <c r="G10" i="5"/>
  <c r="H9" i="5"/>
  <c r="E9" i="5"/>
  <c r="I9" i="5"/>
  <c r="J9" i="5"/>
  <c r="R9" i="5"/>
  <c r="F9" i="5"/>
  <c r="E8" i="5"/>
  <c r="R8" i="5"/>
  <c r="I8" i="5"/>
  <c r="H8" i="5"/>
  <c r="J8" i="5"/>
  <c r="F8" i="5"/>
  <c r="G8" i="5"/>
  <c r="F7" i="5"/>
  <c r="I7" i="5"/>
  <c r="J7" i="5"/>
  <c r="E7" i="5"/>
  <c r="H7" i="5"/>
  <c r="R7" i="5"/>
  <c r="X6" i="5"/>
  <c r="G69" i="6" a="1"/>
  <c r="G69" i="6" s="1"/>
  <c r="H69" i="6" s="1"/>
  <c r="C47" i="6"/>
  <c r="D37" i="6"/>
  <c r="C37" i="6"/>
  <c r="D42" i="6"/>
  <c r="C42" i="6"/>
  <c r="D32" i="6"/>
  <c r="C32" i="6"/>
  <c r="D52" i="6"/>
  <c r="C52" i="6"/>
  <c r="D35" i="6"/>
  <c r="C35" i="6"/>
  <c r="D40" i="6"/>
  <c r="C40" i="6"/>
  <c r="D50" i="6"/>
  <c r="C50" i="6"/>
  <c r="D54" i="6"/>
  <c r="C54" i="6"/>
  <c r="D57" i="6"/>
  <c r="C57" i="6"/>
  <c r="F56" i="6"/>
  <c r="H56" i="6" s="1"/>
  <c r="H55" i="6"/>
  <c r="D63" i="6"/>
  <c r="C63" i="6"/>
  <c r="D59" i="6"/>
  <c r="C59" i="6"/>
  <c r="D60" i="6"/>
  <c r="C60" i="6"/>
  <c r="D58" i="6"/>
  <c r="C58" i="6"/>
  <c r="D62" i="6"/>
  <c r="C62" i="6"/>
  <c r="D39" i="6"/>
  <c r="C39" i="6"/>
  <c r="D64" i="6"/>
  <c r="C64" i="6"/>
  <c r="S16" i="5"/>
  <c r="T16" i="5"/>
  <c r="S15" i="5"/>
  <c r="T15" i="5"/>
  <c r="S6" i="5"/>
  <c r="T5" i="5"/>
  <c r="X34" i="5" l="1"/>
  <c r="X33" i="5"/>
  <c r="X32" i="5"/>
  <c r="X31" i="5"/>
  <c r="X30" i="5"/>
  <c r="X29" i="5"/>
  <c r="X16" i="5"/>
  <c r="X28" i="5"/>
  <c r="X27" i="5"/>
  <c r="X26" i="5"/>
  <c r="X25" i="5"/>
  <c r="X24" i="5"/>
  <c r="X23" i="5"/>
  <c r="C65" i="6"/>
  <c r="X22" i="5"/>
  <c r="X21" i="5"/>
  <c r="X20" i="5"/>
  <c r="X19" i="5"/>
  <c r="X18" i="5"/>
  <c r="X17" i="5"/>
  <c r="X15" i="5"/>
  <c r="C67" i="6"/>
  <c r="C66" i="6"/>
  <c r="H70" i="6"/>
  <c r="D2" i="6" s="1"/>
  <c r="X14" i="5"/>
  <c r="X13" i="5"/>
  <c r="X12" i="5"/>
  <c r="X11" i="5"/>
  <c r="X10" i="5"/>
  <c r="X9" i="5"/>
  <c r="X8" i="5"/>
  <c r="X7" i="5"/>
  <c r="D68" i="6"/>
  <c r="C68" i="6"/>
  <c r="D55" i="6"/>
  <c r="C55" i="6"/>
  <c r="D56" i="6"/>
  <c r="C56" i="6"/>
  <c r="S34" i="5"/>
  <c r="S33" i="5"/>
  <c r="S32" i="5"/>
  <c r="S31" i="5"/>
  <c r="S30" i="5"/>
  <c r="S29" i="5"/>
  <c r="S28" i="5"/>
  <c r="S27" i="5"/>
  <c r="S26" i="5"/>
  <c r="S25" i="5"/>
  <c r="S24" i="5"/>
  <c r="S23" i="5"/>
  <c r="S22" i="5"/>
  <c r="S21" i="5"/>
  <c r="S20" i="5"/>
  <c r="S19" i="5"/>
  <c r="S18" i="5"/>
  <c r="S17" i="5"/>
  <c r="S14" i="5"/>
  <c r="S13" i="5"/>
  <c r="S12" i="5"/>
  <c r="S11" i="5"/>
  <c r="S10" i="5"/>
  <c r="S9" i="5"/>
  <c r="S8" i="5"/>
  <c r="S7" i="5"/>
  <c r="T6" i="5"/>
  <c r="T34" i="5" l="1"/>
  <c r="T33" i="5"/>
  <c r="T32" i="5"/>
  <c r="T31" i="5"/>
  <c r="T30" i="5"/>
  <c r="T29" i="5"/>
  <c r="T28" i="5"/>
  <c r="T27" i="5"/>
  <c r="T26" i="5"/>
  <c r="T25" i="5"/>
  <c r="T24" i="5"/>
  <c r="T23" i="5"/>
  <c r="T22" i="5"/>
  <c r="T21" i="5"/>
  <c r="T20" i="5"/>
  <c r="T19" i="5"/>
  <c r="T18" i="5"/>
  <c r="T17" i="5"/>
  <c r="T14" i="5"/>
  <c r="T13" i="5"/>
  <c r="T12" i="5"/>
  <c r="T11" i="5"/>
  <c r="T10" i="5"/>
  <c r="T9" i="5"/>
  <c r="T8" i="5"/>
  <c r="T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<sst xmlns="http://schemas.openxmlformats.org/spreadsheetml/2006/main" count="22368" uniqueCount="15806">
  <si>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</si>
  <si>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</si>
  <si>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</si>
  <si>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</si>
  <si>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</si>
  <si>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</si>
  <si>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</si>
  <si>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</si>
  <si>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</si>
  <si>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</si>
  <si>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</si>
  <si>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</si>
  <si>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</si>
  <si>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</si>
  <si>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</si>
  <si>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</si>
  <si>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</si>
  <si>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</si>
  <si>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</si>
  <si>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</si>
  <si>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</si>
  <si>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</si>
  <si>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</si>
  <si>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</si>
  <si>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</si>
  <si>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</si>
  <si>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</si>
  <si>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</si>
  <si>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</si>
  <si>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</si>
  <si>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</si>
  <si>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</si>
  <si>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</si>
  <si>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</si>
  <si>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</si>
  <si>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</si>
  <si>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</si>
  <si>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</si>
  <si>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</si>
  <si>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</si>
  <si>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</si>
  <si>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</si>
  <si>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</si>
  <si>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</si>
  <si>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</si>
  <si>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</si>
  <si>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</si>
  <si>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</si>
  <si>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</si>
  <si>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</si>
  <si>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</si>
  <si>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</si>
  <si>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</si>
  <si>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</si>
  <si>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</si>
  <si>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</si>
  <si>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</si>
  <si>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</si>
  <si>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</si>
  <si>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</si>
  <si>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</si>
  <si>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</si>
  <si>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</si>
  <si>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</si>
  <si>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</si>
  <si>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</si>
  <si>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</si>
  <si>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</si>
  <si>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</si>
  <si>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</si>
  <si>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</si>
  <si>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</si>
  <si>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</si>
  <si>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</si>
  <si>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</si>
  <si>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</si>
  <si>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</si>
  <si>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</si>
  <si>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</si>
  <si>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</si>
  <si>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</si>
  <si>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</si>
  <si>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</si>
  <si>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</si>
  <si>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</si>
  <si>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</si>
  <si>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</si>
  <si>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</si>
  <si>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</si>
  <si>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</si>
  <si>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</si>
  <si>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</si>
  <si>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</si>
  <si>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</si>
  <si>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</si>
  <si>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</si>
  <si>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</si>
  <si>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</si>
  <si>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</si>
  <si>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</si>
  <si>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</si>
  <si>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</si>
  <si>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</si>
  <si>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</si>
  <si>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</si>
  <si>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</si>
  <si>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</si>
  <si>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</si>
  <si>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</si>
  <si>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</si>
  <si>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</si>
  <si>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</si>
  <si>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</si>
  <si>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</si>
  <si>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</si>
  <si>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</si>
  <si>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</si>
  <si>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</si>
  <si>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</si>
  <si>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</si>
  <si>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</si>
  <si>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</si>
  <si>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</si>
  <si>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</si>
  <si>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</si>
  <si>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</si>
  <si>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</si>
  <si>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</si>
  <si>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</si>
  <si>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</si>
  <si>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</si>
  <si>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</si>
  <si>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</si>
  <si>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</si>
  <si>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</si>
  <si>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</si>
  <si>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</si>
  <si>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</si>
  <si>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</si>
  <si>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</si>
  <si>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</si>
  <si>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</si>
  <si>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</si>
  <si>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</si>
  <si>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</si>
  <si>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</si>
  <si>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</si>
  <si>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</si>
  <si>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</si>
  <si>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</si>
  <si>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</si>
  <si>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</si>
  <si>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</si>
  <si>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</si>
  <si>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</si>
  <si>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</si>
  <si>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</si>
  <si>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</si>
  <si>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</si>
  <si>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</si>
  <si>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</si>
  <si>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</si>
  <si>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</si>
  <si>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</si>
  <si>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</si>
  <si>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</si>
  <si>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</si>
  <si>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</si>
  <si>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</si>
  <si>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</si>
  <si>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</si>
  <si>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</si>
  <si>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</si>
  <si>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</si>
  <si>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</si>
  <si>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</si>
  <si>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</si>
  <si>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</si>
  <si>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</si>
  <si>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</si>
  <si>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</si>
  <si>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</si>
  <si>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</si>
  <si>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</si>
  <si>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</si>
  <si>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</si>
  <si>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</si>
  <si>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</si>
  <si>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</si>
  <si>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</si>
  <si>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</si>
  <si>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</si>
  <si>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</si>
  <si>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</si>
  <si>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</si>
  <si>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</si>
  <si>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</si>
  <si>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</si>
  <si>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</si>
  <si>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</si>
  <si>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</si>
  <si>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</si>
  <si>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</si>
  <si>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</si>
  <si>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</si>
  <si>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</si>
  <si>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</si>
  <si>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</si>
  <si>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</si>
  <si>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</si>
  <si>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</si>
  <si>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</si>
  <si>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</si>
  <si>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</si>
  <si>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</si>
  <si>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</si>
  <si>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</si>
  <si>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</si>
  <si>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</si>
  <si>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</si>
  <si>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</si>
  <si>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</si>
  <si>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</si>
  <si>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</si>
  <si>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</si>
  <si>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</si>
  <si>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</si>
  <si>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</si>
  <si>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</si>
  <si>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</si>
  <si>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</si>
  <si>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</si>
  <si>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</si>
  <si>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</si>
  <si>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</si>
  <si>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</si>
  <si>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</si>
  <si>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</si>
  <si>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</si>
  <si>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</si>
  <si>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</si>
  <si>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</si>
  <si>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</si>
  <si>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</si>
  <si>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</si>
  <si>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</si>
  <si>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</si>
  <si>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</si>
  <si>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</si>
  <si>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</si>
  <si>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</si>
  <si>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</si>
  <si>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</si>
  <si>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</si>
  <si>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</si>
  <si>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</si>
  <si>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</si>
  <si>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</si>
  <si>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</si>
  <si>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</si>
  <si>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</si>
  <si>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</si>
  <si>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</si>
  <si>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</si>
  <si>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</si>
  <si>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</si>
  <si>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</si>
  <si>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</si>
  <si>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</si>
  <si>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</si>
  <si>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</si>
  <si>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</si>
  <si>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</si>
  <si>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</si>
  <si>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</si>
  <si>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</si>
  <si>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</si>
  <si>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</si>
  <si>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</si>
  <si>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</si>
  <si>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</si>
  <si>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</si>
  <si>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</si>
  <si>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</si>
  <si>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</si>
  <si>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</si>
  <si>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</si>
  <si>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</si>
  <si>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</si>
  <si>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</si>
  <si>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</si>
  <si>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</si>
  <si>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</si>
  <si>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</si>
  <si>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</si>
  <si>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</si>
  <si>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</si>
  <si>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</si>
  <si>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</si>
  <si>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</si>
  <si>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</si>
  <si>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</si>
  <si>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</si>
  <si>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</si>
  <si>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</si>
  <si>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</si>
  <si>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</si>
  <si>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</si>
  <si>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</si>
  <si>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</si>
  <si>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</si>
  <si>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</si>
  <si>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</si>
  <si>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</si>
  <si>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</si>
  <si>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</si>
  <si>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</si>
  <si>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</si>
  <si>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</si>
  <si>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</si>
  <si>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</si>
  <si>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</si>
  <si>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</si>
  <si>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</si>
  <si>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</si>
  <si>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</si>
  <si>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</si>
  <si>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</si>
  <si>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</si>
  <si>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</si>
  <si>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</si>
  <si>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</si>
  <si>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</si>
  <si>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</si>
  <si>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</si>
  <si>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</si>
  <si>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</si>
  <si>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</si>
  <si>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</si>
  <si>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</si>
  <si>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</si>
  <si>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</si>
  <si>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</si>
  <si>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</si>
  <si>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</si>
  <si>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</si>
  <si>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</si>
  <si>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</si>
  <si>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</si>
  <si>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</si>
  <si>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</si>
  <si>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</si>
  <si>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</si>
  <si>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</si>
  <si>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</si>
  <si>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</si>
  <si>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</si>
  <si>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</si>
  <si>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</si>
  <si>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</si>
  <si>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</si>
  <si>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</si>
  <si>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</si>
  <si>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</si>
  <si>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</si>
  <si>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</si>
  <si>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</si>
  <si>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</si>
  <si>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</si>
  <si>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</si>
  <si>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</si>
  <si>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</si>
  <si>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</si>
  <si>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</si>
  <si>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</si>
  <si>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</si>
  <si>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</si>
  <si>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</si>
  <si>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</si>
  <si>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</si>
  <si>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</si>
  <si>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</si>
  <si>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</si>
  <si>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</si>
  <si>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</si>
  <si>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</si>
  <si>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</si>
  <si>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</si>
  <si>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</si>
  <si>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</si>
  <si>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</si>
  <si>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</si>
  <si>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</si>
  <si>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</si>
  <si>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</si>
  <si>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</si>
  <si>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</si>
  <si>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</si>
  <si>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</si>
  <si>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</si>
  <si>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</si>
  <si>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</si>
  <si>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</si>
  <si>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</si>
  <si>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</si>
  <si>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</si>
  <si>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</si>
  <si>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</si>
  <si>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</si>
  <si>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</si>
  <si>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</si>
  <si>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</si>
  <si>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</si>
  <si>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</si>
  <si>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</si>
  <si>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</si>
  <si>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</si>
  <si>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</si>
  <si>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</si>
  <si>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</si>
  <si>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</si>
  <si>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</si>
  <si>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</si>
  <si>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</si>
  <si>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</si>
  <si>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</si>
  <si>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</si>
  <si>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</si>
  <si>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</si>
  <si>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</si>
  <si>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</si>
  <si>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</si>
  <si>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</si>
  <si>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</si>
  <si>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</si>
  <si>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</si>
  <si>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</si>
  <si>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</si>
  <si>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</si>
  <si>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</si>
  <si>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</si>
  <si>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</si>
  <si>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</si>
  <si>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</si>
  <si>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</si>
  <si>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</si>
  <si>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</si>
  <si>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</si>
  <si>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</si>
  <si>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</si>
  <si>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</si>
  <si>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</si>
  <si>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</si>
  <si>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</si>
  <si>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</si>
  <si>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</si>
  <si>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</si>
  <si>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</si>
  <si>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</si>
  <si>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</si>
  <si>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</si>
  <si>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</si>
  <si>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</si>
  <si>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</si>
  <si>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</si>
  <si>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</si>
  <si>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</si>
  <si>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</si>
  <si>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</si>
  <si>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</si>
  <si>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</si>
  <si>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</si>
  <si>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</si>
  <si>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</si>
  <si>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</si>
  <si>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</si>
  <si>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</si>
  <si>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</si>
  <si>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</si>
  <si>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</si>
  <si>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</si>
  <si>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</si>
  <si>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</si>
  <si>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</si>
  <si>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</si>
  <si>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</si>
  <si>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</si>
  <si>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</si>
  <si>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</si>
  <si>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</si>
  <si>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</si>
  <si>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</si>
  <si>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</si>
  <si>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</si>
  <si>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</si>
  <si>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</si>
  <si>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</si>
  <si>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</si>
  <si>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</si>
  <si>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</si>
  <si>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</si>
  <si>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</si>
  <si>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</si>
  <si>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</si>
  <si>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</si>
  <si>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</si>
  <si>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</si>
  <si>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</si>
  <si>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</si>
  <si>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</si>
  <si>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</si>
  <si>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</si>
  <si>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</si>
  <si>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</si>
  <si>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</si>
  <si>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</si>
  <si>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</si>
  <si>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</si>
  <si>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</si>
  <si>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</si>
  <si>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</si>
  <si>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</si>
  <si>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</si>
  <si>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</si>
  <si>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</si>
  <si>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</si>
  <si>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</si>
  <si>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</si>
  <si>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</si>
  <si>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</si>
  <si>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</si>
  <si>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</si>
  <si>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</si>
  <si>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</si>
  <si>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</si>
  <si>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</si>
  <si>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</si>
  <si>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</si>
  <si>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</si>
  <si>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</si>
  <si>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</si>
  <si>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</si>
  <si>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</si>
  <si>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</si>
  <si>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</si>
  <si>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</si>
  <si>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</si>
  <si>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</si>
  <si>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</si>
  <si>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</si>
  <si>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</si>
  <si>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</si>
  <si>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</si>
  <si>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</si>
  <si>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</si>
  <si>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</si>
  <si>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</si>
  <si>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</si>
  <si>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</si>
  <si>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</si>
  <si>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</si>
  <si>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</si>
  <si>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</si>
  <si>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</si>
  <si>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</si>
  <si>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</si>
  <si>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</si>
  <si>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</si>
  <si>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</si>
  <si>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</si>
  <si>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</si>
  <si>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</si>
  <si>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</si>
  <si>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</si>
  <si>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</si>
  <si>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</si>
  <si>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</si>
  <si>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</si>
  <si>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</si>
  <si>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</si>
  <si>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</si>
  <si>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</si>
  <si>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</si>
  <si>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</si>
  <si>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</si>
  <si>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</si>
  <si>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</si>
  <si>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</si>
  <si>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</si>
  <si>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</si>
  <si>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</si>
  <si>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</si>
  <si>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</si>
  <si>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</si>
  <si>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</si>
  <si>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</si>
  <si>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</si>
  <si>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</si>
  <si>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</si>
  <si>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</si>
  <si>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</si>
  <si>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</si>
  <si>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</si>
  <si>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</si>
  <si>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</si>
  <si>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</si>
  <si>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</si>
  <si>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</si>
  <si>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</si>
  <si>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</si>
  <si>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</si>
  <si>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</si>
  <si>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</si>
  <si>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</si>
  <si>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</si>
  <si>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</si>
  <si>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</si>
  <si>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</si>
  <si>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</si>
  <si>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</si>
  <si>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</si>
  <si>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</si>
  <si>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</si>
  <si>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</si>
  <si>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</si>
  <si>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</si>
  <si>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</si>
  <si>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</si>
  <si>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</si>
  <si>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</si>
  <si>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</si>
  <si>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</si>
  <si>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</si>
  <si>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</si>
  <si>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</si>
  <si>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</si>
  <si>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</si>
  <si>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</si>
  <si>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</si>
  <si>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</si>
  <si>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</si>
  <si>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</si>
  <si>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</si>
  <si>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</si>
  <si>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</si>
  <si>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</si>
  <si>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</si>
  <si>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</si>
  <si>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</si>
  <si>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</si>
  <si>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</si>
  <si>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</si>
  <si>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</si>
  <si>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</si>
  <si>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</si>
  <si>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</si>
  <si>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</si>
  <si>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</si>
  <si>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</si>
  <si>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</si>
  <si>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</si>
  <si>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</si>
  <si>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</si>
  <si>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</si>
  <si>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</si>
  <si>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</si>
  <si>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</si>
  <si>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</si>
  <si>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</si>
  <si>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</si>
  <si>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</si>
  <si>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</si>
  <si>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</si>
  <si>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</si>
  <si>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</si>
  <si>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</si>
  <si>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</si>
  <si>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</si>
  <si>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</si>
  <si>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</si>
  <si>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</si>
  <si>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</si>
  <si>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</si>
  <si>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</si>
  <si>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</si>
  <si>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</si>
  <si>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</si>
  <si>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</si>
  <si>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</si>
  <si>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</si>
  <si>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</si>
  <si>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</si>
  <si>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</si>
  <si>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</si>
  <si>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</si>
  <si>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</si>
  <si>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</si>
  <si>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</si>
  <si>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</si>
  <si>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</si>
  <si>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</si>
  <si>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</si>
  <si>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</si>
  <si>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</si>
  <si>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</si>
  <si>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</si>
  <si>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</si>
  <si>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</si>
  <si>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</si>
  <si>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</si>
  <si>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</si>
  <si>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</si>
  <si>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</si>
  <si>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</si>
  <si>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</si>
  <si>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</si>
  <si>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</si>
  <si>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</si>
  <si>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</si>
  <si>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</si>
  <si>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</si>
  <si>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</si>
  <si>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</si>
  <si>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</si>
  <si>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</si>
  <si>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</si>
  <si>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</si>
  <si>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</si>
  <si>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</si>
  <si>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</si>
  <si>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</si>
  <si>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</si>
  <si>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</si>
  <si>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</si>
  <si>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</si>
  <si>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</si>
  <si>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</si>
  <si>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</si>
  <si>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</si>
  <si>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</si>
  <si>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</si>
  <si>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</si>
  <si>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</si>
  <si>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</si>
  <si>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</si>
  <si>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</si>
  <si>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</si>
  <si>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</si>
  <si>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</si>
  <si>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</si>
  <si>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</si>
  <si>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</si>
  <si>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</si>
  <si>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</si>
  <si>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</si>
  <si>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</si>
  <si>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</si>
  <si>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</si>
  <si>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</si>
  <si>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</si>
  <si>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</si>
  <si>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</si>
  <si>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</si>
  <si>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</si>
  <si>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</si>
  <si>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</si>
  <si>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</si>
  <si>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</si>
  <si>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</si>
  <si>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</si>
  <si>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</si>
  <si>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</si>
  <si>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</si>
  <si>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</si>
  <si>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</si>
  <si>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</si>
  <si>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</si>
  <si>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</si>
  <si>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</si>
  <si>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</si>
  <si>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</si>
  <si>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</si>
  <si>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</si>
  <si>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</si>
  <si>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</si>
  <si>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</si>
  <si>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</si>
  <si>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</si>
  <si>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</si>
  <si>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</si>
  <si>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</si>
  <si>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</si>
  <si>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</si>
  <si>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</si>
  <si>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</si>
  <si>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</si>
  <si>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</si>
  <si>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</si>
  <si>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</si>
  <si>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</si>
  <si>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</si>
  <si>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</si>
  <si>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</si>
  <si>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</si>
  <si>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</si>
  <si>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</si>
  <si>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</si>
  <si>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</si>
  <si>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</si>
  <si>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</si>
  <si>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</si>
  <si>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</si>
  <si>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</si>
  <si>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</si>
  <si>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</si>
  <si>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</si>
  <si>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</si>
  <si>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</si>
  <si>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</si>
  <si>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</si>
  <si>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</si>
  <si>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</si>
  <si>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</si>
  <si>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</si>
  <si>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</si>
  <si>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</si>
  <si>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</si>
  <si>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</si>
  <si>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</si>
  <si>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</si>
  <si>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</si>
  <si>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</si>
  <si>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</si>
  <si>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</si>
  <si>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</si>
  <si>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</si>
  <si>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</si>
  <si>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</si>
  <si>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</si>
  <si>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</si>
  <si>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</si>
  <si>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</si>
  <si>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</si>
  <si>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</si>
  <si>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</si>
  <si>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</si>
  <si>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</si>
  <si>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</si>
  <si>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</si>
  <si>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</si>
  <si>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</si>
  <si>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</si>
  <si>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</si>
  <si>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</si>
  <si>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</si>
  <si>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</si>
  <si>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</si>
  <si>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</si>
  <si>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</si>
  <si>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</si>
  <si>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</si>
  <si>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</si>
  <si>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</si>
  <si>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</si>
  <si>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</si>
  <si>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</si>
  <si>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</si>
  <si>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</si>
  <si>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</si>
  <si>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</si>
  <si>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</si>
  <si>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</si>
  <si>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</si>
  <si>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</si>
  <si>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</si>
  <si>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</si>
  <si>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</si>
  <si>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</si>
  <si>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</si>
  <si>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</si>
  <si>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</si>
  <si>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</si>
  <si>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</si>
  <si>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</si>
  <si>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</si>
  <si>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</si>
  <si>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</si>
  <si>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</si>
  <si>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</si>
  <si>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</si>
  <si>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</si>
  <si>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</si>
  <si>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</si>
  <si>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</si>
  <si>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</si>
  <si>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</si>
  <si>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</si>
  <si>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</si>
  <si>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</si>
  <si>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</si>
  <si>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</si>
  <si>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</si>
  <si>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</si>
  <si>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</si>
  <si>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</si>
  <si>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</si>
  <si>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</si>
  <si>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</si>
  <si>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</si>
  <si>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</si>
  <si>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</si>
  <si>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</si>
  <si>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</si>
  <si>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</si>
  <si>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</si>
  <si>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</si>
  <si>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</si>
  <si>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</si>
  <si>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</si>
  <si>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</si>
  <si>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</si>
  <si>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</si>
  <si>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</si>
  <si>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</si>
  <si>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</si>
  <si>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</si>
  <si>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</si>
  <si>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</si>
  <si>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</si>
  <si>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</si>
  <si>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</si>
  <si>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</si>
  <si>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</si>
  <si>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</si>
  <si>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</si>
  <si>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</si>
  <si>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</si>
  <si>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</si>
  <si>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</si>
  <si>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</si>
  <si>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</si>
  <si>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</si>
  <si>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</si>
  <si>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</si>
  <si>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</si>
  <si>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</si>
  <si>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</si>
  <si>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</si>
  <si>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</si>
  <si>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</si>
  <si>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</si>
  <si>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</si>
  <si>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</si>
  <si>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</si>
  <si>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</si>
  <si>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</si>
  <si>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</si>
  <si>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</si>
  <si>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</si>
  <si>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</si>
  <si>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</si>
  <si>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</si>
  <si>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</si>
  <si>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</si>
  <si>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</si>
  <si>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</si>
  <si>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</si>
  <si>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</si>
  <si>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</si>
  <si>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</si>
  <si>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</si>
  <si>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</si>
  <si>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</si>
  <si>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</si>
  <si>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</si>
  <si>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</si>
  <si>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</si>
  <si>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</si>
  <si>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</si>
  <si>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</si>
  <si>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</si>
  <si>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</si>
  <si>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</si>
  <si>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</si>
  <si>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</si>
  <si>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</si>
  <si>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</si>
  <si>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</si>
  <si>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</si>
  <si>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</si>
  <si>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</si>
  <si>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</si>
  <si>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</si>
  <si>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</si>
  <si>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</si>
  <si>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</si>
  <si>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</si>
  <si>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</si>
  <si>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</si>
  <si>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</si>
  <si>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</si>
  <si>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</si>
  <si>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</si>
  <si>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</si>
  <si>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</si>
  <si>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</si>
  <si>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</si>
  <si>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</si>
  <si>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</si>
  <si>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</si>
  <si>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</si>
  <si>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</si>
  <si>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</si>
  <si>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</si>
  <si>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</si>
  <si>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</si>
  <si>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</si>
  <si>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</si>
  <si>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</si>
  <si>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</si>
  <si>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</si>
  <si>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</si>
  <si>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</si>
  <si>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</si>
  <si>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</si>
  <si>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</si>
  <si>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</si>
  <si>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</si>
  <si>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</si>
  <si>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</si>
  <si>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</si>
  <si>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</si>
  <si>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</si>
  <si>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</si>
  <si>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</si>
  <si>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</si>
  <si>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</si>
  <si>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</si>
  <si>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</si>
  <si>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</si>
  <si>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</si>
  <si>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</si>
  <si>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</si>
  <si>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</si>
  <si>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</si>
  <si>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</si>
  <si>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</si>
  <si>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</si>
  <si>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</si>
  <si>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</si>
  <si>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</si>
  <si>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</si>
  <si>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</si>
  <si>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</si>
  <si>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</si>
  <si>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</si>
  <si>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</si>
  <si>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</si>
  <si>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</si>
  <si>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</si>
  <si>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</si>
  <si>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</si>
  <si>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</si>
  <si>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</si>
  <si>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</si>
  <si>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</si>
  <si>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</si>
  <si>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</si>
  <si>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</si>
  <si>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</si>
  <si>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</si>
  <si>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</si>
  <si>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</si>
  <si>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</si>
  <si>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</si>
  <si>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</si>
  <si>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</si>
  <si>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</si>
  <si>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</si>
  <si>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</si>
  <si>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</si>
  <si>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</si>
  <si>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</si>
  <si>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</si>
  <si>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</si>
  <si>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</si>
  <si>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</si>
  <si>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</si>
  <si>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</si>
  <si>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</si>
  <si>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</si>
  <si>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</si>
  <si>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</si>
  <si>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</si>
  <si>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</si>
  <si>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</si>
  <si>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</si>
  <si>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</si>
  <si>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</si>
  <si>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</si>
  <si>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</si>
  <si>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</si>
  <si>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</si>
  <si>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</si>
  <si>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</si>
  <si>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</si>
  <si>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</si>
  <si>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</si>
  <si>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</si>
  <si>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</si>
  <si>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</si>
  <si>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</si>
  <si>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</si>
  <si>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</si>
  <si>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</si>
  <si>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</si>
  <si>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</si>
  <si>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</si>
  <si>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</si>
  <si>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</si>
  <si>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</si>
  <si>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</si>
  <si>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</si>
  <si>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</si>
  <si>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</si>
  <si>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</si>
  <si>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</si>
  <si>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</si>
  <si>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</si>
  <si>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</si>
  <si>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</si>
  <si>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</si>
  <si>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</si>
  <si>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</si>
  <si>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</si>
  <si>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</si>
  <si>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</si>
  <si>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</si>
  <si>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</si>
  <si>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</si>
  <si>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</si>
  <si>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</si>
  <si>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</si>
  <si>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</si>
  <si>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</si>
  <si>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</si>
  <si>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</si>
  <si>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</si>
  <si>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</si>
  <si>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</si>
  <si>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</si>
  <si>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</si>
  <si>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</si>
  <si>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</si>
  <si>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</si>
  <si>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</si>
  <si>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</si>
  <si>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</si>
  <si>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</si>
  <si>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</si>
  <si>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</si>
  <si>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</si>
  <si>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</si>
  <si>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</si>
  <si>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</si>
  <si>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</si>
  <si>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</si>
  <si>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</si>
  <si>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</si>
  <si>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</si>
  <si>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</si>
  <si>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</si>
  <si>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</si>
  <si>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</si>
  <si>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</si>
  <si>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</si>
  <si>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</si>
  <si>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</si>
  <si>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</si>
  <si>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</si>
  <si>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</si>
  <si>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</si>
  <si>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</si>
  <si>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</si>
  <si>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</si>
  <si>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</si>
  <si>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</si>
  <si>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</si>
  <si>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</si>
  <si>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</si>
  <si>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</si>
  <si>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</si>
  <si>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</si>
  <si>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</si>
  <si>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</si>
  <si>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</si>
  <si>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</si>
  <si>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</si>
  <si>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</si>
  <si>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</si>
  <si>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</si>
  <si>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</si>
  <si>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</si>
  <si>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</si>
  <si>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</si>
  <si>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</si>
  <si>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</si>
  <si>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</si>
  <si>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</si>
  <si>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</si>
  <si>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</si>
  <si>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</si>
  <si>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</si>
  <si>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</si>
  <si>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</si>
  <si>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</si>
  <si>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</si>
  <si>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</si>
  <si>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</si>
  <si>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</si>
  <si>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</si>
  <si>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</si>
  <si>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</si>
  <si>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</si>
  <si>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</si>
  <si>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</si>
  <si>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</si>
  <si>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</si>
  <si>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</si>
  <si>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</si>
  <si>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</si>
  <si>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</si>
  <si>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</si>
  <si>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</si>
  <si>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</si>
  <si>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</si>
  <si>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</si>
  <si>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</si>
  <si>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</si>
  <si>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</si>
  <si>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</si>
  <si>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</si>
  <si>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</si>
  <si>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</si>
  <si>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</si>
  <si>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</si>
  <si>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</si>
  <si>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</si>
  <si>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</si>
  <si>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</si>
  <si>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</si>
  <si>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</si>
  <si>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</si>
  <si>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</si>
  <si>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</si>
  <si>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</si>
  <si>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</si>
  <si>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</si>
  <si>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</si>
  <si>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</si>
  <si>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</si>
  <si>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</si>
  <si>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</si>
  <si>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</si>
  <si>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</si>
  <si>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</si>
  <si>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</si>
  <si>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</si>
  <si>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</si>
  <si>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</si>
  <si>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</si>
  <si>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</si>
  <si>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</si>
  <si>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</si>
  <si>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</si>
  <si>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</si>
  <si>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</si>
  <si>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</si>
  <si>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</si>
  <si>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</si>
  <si>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</si>
  <si>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</si>
  <si>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</si>
  <si>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</si>
  <si>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</si>
  <si>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</si>
  <si>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</si>
  <si>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</si>
  <si>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</si>
  <si>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</si>
  <si>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</si>
  <si>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</si>
  <si>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</si>
  <si>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</si>
  <si>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</si>
  <si>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</si>
  <si>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</si>
  <si>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</si>
  <si>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</si>
  <si>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</si>
  <si>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</si>
  <si>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</si>
  <si>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</si>
  <si>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</si>
  <si>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</si>
  <si>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</si>
  <si>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</si>
  <si>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</si>
  <si>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</si>
  <si>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</si>
  <si>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</si>
  <si>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</si>
  <si>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</si>
  <si>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</si>
  <si>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</si>
  <si>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</si>
  <si>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</si>
  <si>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</si>
  <si>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</si>
  <si>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</si>
  <si>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</si>
  <si>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</si>
  <si>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</si>
  <si>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</si>
  <si>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</si>
  <si>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</si>
  <si>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</si>
  <si>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</si>
  <si>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</si>
  <si>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</si>
  <si>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</si>
  <si>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</si>
  <si>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</si>
  <si>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</si>
  <si>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</si>
  <si>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</si>
  <si>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</si>
  <si>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</si>
  <si>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</si>
  <si>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</si>
  <si>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</si>
  <si>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</si>
  <si>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</si>
  <si>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</si>
  <si>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</si>
  <si>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</si>
  <si>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</si>
  <si>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</si>
  <si>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</si>
  <si>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</si>
  <si>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</si>
  <si>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</si>
  <si>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</si>
  <si>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</si>
  <si>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</si>
  <si>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</si>
  <si>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</si>
  <si>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</si>
  <si>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</si>
  <si>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</si>
  <si>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</si>
  <si>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</si>
  <si>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</si>
  <si>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</si>
  <si>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</si>
  <si>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</si>
  <si>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</si>
  <si>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</si>
  <si>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</si>
  <si>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</si>
  <si>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</si>
  <si>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</si>
  <si>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</si>
  <si>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</si>
  <si>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</si>
  <si>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</si>
  <si>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</si>
  <si>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</si>
  <si>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</si>
  <si>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</si>
  <si>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</si>
  <si>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</si>
  <si>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</si>
  <si>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</si>
  <si>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</si>
  <si>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</si>
  <si>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</si>
  <si>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</si>
  <si>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</si>
  <si>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</si>
  <si>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</si>
  <si>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</si>
  <si>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</si>
  <si>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</si>
  <si>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</si>
  <si>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</si>
  <si>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</si>
  <si>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</si>
  <si>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</si>
  <si>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</si>
  <si>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</si>
  <si>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</si>
  <si>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</si>
  <si>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</si>
  <si>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</si>
  <si>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</si>
  <si>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</si>
  <si>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</si>
  <si>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</si>
  <si>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</si>
  <si>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</si>
  <si>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</si>
  <si>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</si>
  <si>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</si>
  <si>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</si>
  <si>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</si>
  <si>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</si>
  <si>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</si>
  <si>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</si>
  <si>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</si>
  <si>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</si>
  <si>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</si>
  <si>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</si>
  <si>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</si>
  <si>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</si>
  <si>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</si>
  <si>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</si>
  <si>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</si>
  <si>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</si>
  <si>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</si>
  <si>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</si>
  <si>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</si>
  <si>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</si>
  <si>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</si>
  <si>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</si>
  <si>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</si>
  <si>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</si>
  <si>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</si>
  <si>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</si>
  <si>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</si>
  <si>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</si>
  <si>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</si>
  <si>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</si>
  <si>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</si>
  <si>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</si>
  <si>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</si>
  <si>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</si>
  <si>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</si>
  <si>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</si>
  <si>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</si>
  <si>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</si>
  <si>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</si>
  <si>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</si>
  <si>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</si>
  <si>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</si>
  <si>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</si>
  <si>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</si>
  <si>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</si>
  <si>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</si>
  <si>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</si>
  <si>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</si>
  <si>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</si>
  <si>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</si>
  <si>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</si>
  <si>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</si>
  <si>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</si>
  <si>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</si>
  <si>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</si>
  <si>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</si>
  <si>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</si>
  <si>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</si>
  <si>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</si>
  <si>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</si>
  <si>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</si>
  <si>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</si>
  <si>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</si>
  <si>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</si>
  <si>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</si>
  <si>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</si>
  <si>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</si>
  <si>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</si>
  <si>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</si>
  <si>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</si>
  <si>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</si>
  <si>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</si>
  <si>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</si>
  <si>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</si>
  <si>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</si>
  <si>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</si>
  <si>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</si>
  <si>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</si>
  <si>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</si>
  <si>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</si>
  <si>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</si>
  <si>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</si>
  <si>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</si>
  <si>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</si>
  <si>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</si>
  <si>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</si>
  <si>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</si>
  <si>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</si>
  <si>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</si>
  <si>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</si>
  <si>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</si>
  <si>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</si>
  <si>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</si>
  <si>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</si>
  <si>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</si>
  <si>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</si>
  <si>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</si>
  <si>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</si>
  <si>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</si>
  <si>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</si>
  <si>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</si>
  <si>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</si>
  <si>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</si>
  <si>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</si>
  <si>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</si>
  <si>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</si>
  <si>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</si>
  <si>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</si>
  <si>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</si>
  <si>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</si>
  <si>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</si>
  <si>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</si>
  <si>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</si>
  <si>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</si>
  <si>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</si>
  <si>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</si>
  <si>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</si>
  <si>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</si>
  <si>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</si>
  <si>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</si>
  <si>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</si>
  <si>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</si>
  <si>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</si>
  <si>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</si>
  <si>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</si>
  <si>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</si>
  <si>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</si>
  <si>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</si>
  <si>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</si>
  <si>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</si>
  <si>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</si>
  <si>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</si>
  <si>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</si>
  <si>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</si>
  <si>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</si>
  <si>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</si>
  <si>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</si>
  <si>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</si>
  <si>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</si>
  <si>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</si>
  <si>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</si>
  <si>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</si>
  <si>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</si>
  <si>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</si>
  <si>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</si>
  <si>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</si>
  <si>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</si>
  <si>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</si>
  <si>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</si>
  <si>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</si>
  <si>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</si>
  <si>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</si>
  <si>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</si>
  <si>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</si>
  <si>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</si>
  <si>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</si>
  <si>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</si>
  <si>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</si>
  <si>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</si>
  <si>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</si>
  <si>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</si>
  <si>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</si>
  <si>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</si>
  <si>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</si>
  <si>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</si>
  <si>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</si>
  <si>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</si>
  <si>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</si>
  <si>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</si>
  <si>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</si>
  <si>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</si>
  <si>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</si>
  <si>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</si>
  <si>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</si>
  <si>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</si>
  <si>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</si>
  <si>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</si>
  <si>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</si>
  <si>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</si>
  <si>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</si>
  <si>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</si>
  <si>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</si>
  <si>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</si>
  <si>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</si>
  <si>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</si>
  <si>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</si>
  <si>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</si>
  <si>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</si>
  <si>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</si>
  <si>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</si>
  <si>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</si>
  <si>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</si>
  <si>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</si>
  <si>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</si>
  <si>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</si>
  <si>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</si>
  <si>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</si>
  <si>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</si>
  <si>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</si>
  <si>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</si>
  <si>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</si>
  <si>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</si>
  <si>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</si>
  <si>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</si>
  <si>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</si>
  <si>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</si>
  <si>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</si>
  <si>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</si>
  <si>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</si>
  <si>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</si>
  <si>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</si>
  <si>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</si>
  <si>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</si>
  <si>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</si>
  <si>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</si>
  <si>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</si>
  <si>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</si>
  <si>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</si>
  <si>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</si>
  <si>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</si>
  <si>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</si>
  <si>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</si>
  <si>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</si>
  <si>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</si>
  <si>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</si>
  <si>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</si>
  <si>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</si>
  <si>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</si>
  <si>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</si>
  <si>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</si>
  <si>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</si>
  <si>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</si>
  <si>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</si>
  <si>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</si>
  <si>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</si>
  <si>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</si>
  <si>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</si>
  <si>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</si>
  <si>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</si>
  <si>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</si>
  <si>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</si>
  <si>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</si>
  <si>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</si>
  <si>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</si>
  <si>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</si>
  <si>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</si>
  <si>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</si>
  <si>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</si>
  <si>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</si>
  <si>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</si>
  <si>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</si>
  <si>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</si>
  <si>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</si>
  <si>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</si>
  <si>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</si>
  <si>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</si>
  <si>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</si>
  <si>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</si>
  <si>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</si>
  <si>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</si>
  <si>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</si>
  <si>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</si>
  <si>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</si>
  <si>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</si>
  <si>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</si>
  <si>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</si>
  <si>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</si>
  <si>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</si>
  <si>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</si>
  <si>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</si>
  <si>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</si>
  <si>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</si>
  <si>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</si>
  <si>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</si>
  <si>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</si>
  <si>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</si>
  <si>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</si>
  <si>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</si>
  <si>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</si>
  <si>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</si>
  <si>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</si>
  <si>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</si>
  <si>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</si>
  <si>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</si>
  <si>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</si>
  <si>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</si>
  <si>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</si>
  <si>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</si>
  <si>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</si>
  <si>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</si>
  <si>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</si>
  <si>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</si>
  <si>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</si>
  <si>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</si>
  <si>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</si>
  <si>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</si>
  <si>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</si>
  <si>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</si>
  <si>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</si>
  <si>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</si>
  <si>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</si>
  <si>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</si>
  <si>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</si>
  <si>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</si>
  <si>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</si>
  <si>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</si>
  <si>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</si>
  <si>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</si>
  <si>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</si>
  <si>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</si>
  <si>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</si>
  <si>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</si>
  <si>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</si>
  <si>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</si>
  <si>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</si>
  <si>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</si>
  <si>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</si>
  <si>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</si>
  <si>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</si>
  <si>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</si>
  <si>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</si>
  <si>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</si>
  <si>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</si>
  <si>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</si>
  <si>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</si>
  <si>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</si>
  <si>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</si>
  <si>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</si>
  <si>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</si>
  <si>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</si>
  <si>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</si>
  <si>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</si>
  <si>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</si>
  <si>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</si>
  <si>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</si>
  <si>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</si>
  <si>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</si>
  <si>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</si>
  <si>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</si>
  <si>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</si>
  <si>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</si>
  <si>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</si>
  <si>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</si>
  <si>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</si>
  <si>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</si>
  <si>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</si>
  <si>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</si>
  <si>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</si>
  <si>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</si>
  <si>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</si>
  <si>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</si>
  <si>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</si>
  <si>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</si>
  <si>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</si>
  <si>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</si>
  <si>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</si>
  <si>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</si>
  <si>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</si>
  <si>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</si>
  <si>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</si>
  <si>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</si>
  <si>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</si>
  <si>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</si>
  <si>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</si>
  <si>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</si>
  <si>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</si>
  <si>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</si>
  <si>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</si>
  <si>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</si>
  <si>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</si>
  <si>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</si>
  <si>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</si>
  <si>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</si>
  <si>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</si>
  <si>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</si>
  <si>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</si>
  <si>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</si>
  <si>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</si>
  <si>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</si>
  <si>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</si>
  <si>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</si>
  <si>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</si>
  <si>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</si>
  <si>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</si>
  <si>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</si>
  <si>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</si>
  <si>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</si>
  <si>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</si>
  <si>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</si>
  <si>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</si>
  <si>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</si>
  <si>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</si>
  <si>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</si>
  <si>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</si>
  <si>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</si>
  <si>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</si>
  <si>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</si>
  <si>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</si>
  <si>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</si>
  <si>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</si>
  <si>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</si>
  <si>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</si>
  <si>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</si>
  <si>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</si>
  <si>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</si>
  <si>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</si>
  <si>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</si>
  <si>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</si>
  <si>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</si>
  <si>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</si>
  <si>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</si>
  <si>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</si>
  <si>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</si>
  <si>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</si>
  <si>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</si>
  <si>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</si>
  <si>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</si>
  <si>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</si>
  <si>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</si>
  <si>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</si>
  <si>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</si>
  <si>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</si>
  <si>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</si>
  <si>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</si>
  <si>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</si>
  <si>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</si>
  <si>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</si>
  <si>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</si>
  <si>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</si>
  <si>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</si>
  <si>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</si>
  <si>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</si>
  <si>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</si>
  <si>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</si>
  <si>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</si>
  <si>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</si>
  <si>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</si>
  <si>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</si>
  <si>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</si>
  <si>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</si>
  <si>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</si>
  <si>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</si>
  <si>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</si>
  <si>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</si>
  <si>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</si>
  <si>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</si>
  <si>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</si>
  <si>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</si>
  <si>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</si>
  <si>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</si>
  <si>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</si>
  <si>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</si>
  <si>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</si>
  <si>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</si>
  <si>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</si>
  <si>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</si>
  <si>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</si>
  <si>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</si>
  <si>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</si>
  <si>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</si>
  <si>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</si>
  <si>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</si>
  <si>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</si>
  <si>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</si>
  <si>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</si>
  <si>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</si>
  <si>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</si>
  <si>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</si>
  <si>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</si>
  <si>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</si>
  <si>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</si>
  <si>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</si>
  <si>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</si>
  <si>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</si>
  <si>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</si>
  <si>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</si>
  <si>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</si>
  <si>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</si>
  <si>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</si>
  <si>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</si>
  <si>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</si>
  <si>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</si>
  <si>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</si>
  <si>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</si>
  <si>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</si>
  <si>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</si>
  <si>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</si>
  <si>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</si>
  <si>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</si>
  <si>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</si>
  <si>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</si>
  <si>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</si>
  <si>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</si>
  <si>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</si>
  <si>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</si>
  <si>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</si>
  <si>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</si>
  <si>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</si>
  <si>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</si>
  <si>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</si>
  <si>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</si>
  <si>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</si>
  <si>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</si>
  <si>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</si>
  <si>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</si>
  <si>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</si>
  <si>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</si>
  <si>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</si>
  <si>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</si>
  <si>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</si>
  <si>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</si>
  <si>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</si>
  <si>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</si>
  <si>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</si>
  <si>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</si>
  <si>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</si>
  <si>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</si>
  <si>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</si>
  <si>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</si>
  <si>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</si>
  <si>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</si>
  <si>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</si>
  <si>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</si>
  <si>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</si>
  <si>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</si>
  <si>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</si>
  <si>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</si>
  <si>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</si>
  <si>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</si>
  <si>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</si>
  <si>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</si>
  <si>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</si>
  <si>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</si>
  <si>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</si>
  <si>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</si>
  <si>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</si>
  <si>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</si>
  <si>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</si>
  <si>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</si>
  <si>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</si>
  <si>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</si>
  <si>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</si>
  <si>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</si>
  <si>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</si>
  <si>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</si>
  <si>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</si>
  <si>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</si>
  <si>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</si>
  <si>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</si>
  <si>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</si>
  <si>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</si>
  <si>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</si>
  <si>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</si>
  <si>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</si>
  <si>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</si>
  <si>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</si>
  <si>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</si>
  <si>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</si>
  <si>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</si>
  <si>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</si>
  <si>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</si>
  <si>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</si>
  <si>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</si>
  <si>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</si>
  <si>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</si>
  <si>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</si>
  <si>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</si>
  <si>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</si>
  <si>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</si>
  <si>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</si>
  <si>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</si>
  <si>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</si>
  <si>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</si>
  <si>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</si>
  <si>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</si>
  <si>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</si>
  <si>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</si>
  <si>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</si>
  <si>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</si>
  <si>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</si>
  <si>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</si>
  <si>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</si>
  <si>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</si>
  <si>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</si>
  <si>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</si>
  <si>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</si>
  <si>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</si>
  <si>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</si>
  <si>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</si>
  <si>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</si>
  <si>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</si>
  <si>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</si>
  <si>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</si>
  <si>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</si>
  <si>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</si>
  <si>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</si>
  <si>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</si>
  <si>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</si>
  <si>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</si>
  <si>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</si>
  <si>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</si>
  <si>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</si>
  <si>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</si>
  <si>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</si>
  <si>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</si>
  <si>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</si>
  <si>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</si>
  <si>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</si>
  <si>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</si>
  <si>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</si>
  <si>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</si>
  <si>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</si>
  <si>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</si>
  <si>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</si>
  <si>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</si>
  <si>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</si>
  <si>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</si>
  <si>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</si>
  <si>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</si>
  <si>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</si>
  <si>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</si>
  <si>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</si>
  <si>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</si>
  <si>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</si>
  <si>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</si>
  <si>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</si>
  <si>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</si>
  <si>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</si>
  <si>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</si>
  <si>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</si>
  <si>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</si>
  <si>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</si>
  <si>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</si>
  <si>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</si>
  <si>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</si>
  <si>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</si>
  <si>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</si>
  <si>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</si>
  <si>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</si>
  <si>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</si>
  <si>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</si>
  <si>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</si>
  <si>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</si>
  <si>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</si>
  <si>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</si>
  <si>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</si>
  <si>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</si>
  <si>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</si>
  <si>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</si>
  <si>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</si>
  <si>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</si>
  <si>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</si>
  <si>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</si>
  <si>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</si>
  <si>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</si>
  <si>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</si>
  <si>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</si>
  <si>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</si>
  <si>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</si>
  <si>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</si>
  <si>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</si>
  <si>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</si>
  <si>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</si>
  <si>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</si>
  <si>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</si>
  <si>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</si>
  <si>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</si>
  <si>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</si>
  <si>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</si>
  <si>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</si>
  <si>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</si>
  <si>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</si>
  <si>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</si>
  <si>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</si>
  <si>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</si>
  <si>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</si>
  <si>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</si>
  <si>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</si>
  <si>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</si>
  <si>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</si>
  <si>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</si>
  <si>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</si>
  <si>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</si>
  <si>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</si>
  <si>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</si>
  <si>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</si>
  <si>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</si>
  <si>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</si>
  <si>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</si>
  <si>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</si>
  <si>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</si>
  <si>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</si>
  <si>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</si>
  <si>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</si>
  <si>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</si>
  <si>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</si>
  <si>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</si>
  <si>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</si>
  <si>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</si>
  <si>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</si>
  <si>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</si>
  <si>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</si>
  <si>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</si>
  <si>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</si>
  <si>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</si>
  <si>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</si>
  <si>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</si>
  <si>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</si>
  <si>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</si>
  <si>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</si>
  <si>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</si>
  <si>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</si>
  <si>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</si>
  <si>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</si>
  <si>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</si>
  <si>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</si>
  <si>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</si>
  <si>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</si>
  <si>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</si>
  <si>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</si>
  <si>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</si>
  <si>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</si>
  <si>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</si>
  <si>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</si>
  <si>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</si>
  <si>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</si>
  <si>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</si>
  <si>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</si>
  <si>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</si>
  <si>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</si>
  <si>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</si>
  <si>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</si>
  <si>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</si>
  <si>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</si>
  <si>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</si>
  <si>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</si>
  <si>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</si>
  <si>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</si>
  <si>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</si>
  <si>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</si>
  <si>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</si>
  <si>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</si>
  <si>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</si>
  <si>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</si>
  <si>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</si>
  <si>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</si>
  <si>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</si>
  <si>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</si>
  <si>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</si>
  <si>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</si>
  <si>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</si>
  <si>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</si>
  <si>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</si>
  <si>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</si>
  <si>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</si>
  <si>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</si>
  <si>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</si>
  <si>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</si>
  <si>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</si>
  <si>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</si>
  <si>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</si>
  <si>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</si>
  <si>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</si>
  <si>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</si>
  <si>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</si>
  <si>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</si>
  <si>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</si>
  <si>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</si>
  <si>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</si>
  <si>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</si>
  <si>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</si>
  <si>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</si>
  <si>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</si>
  <si>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</si>
  <si>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</si>
  <si>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</si>
  <si>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</si>
  <si>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</si>
  <si>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</si>
  <si>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</si>
  <si>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</si>
  <si>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</si>
  <si>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</si>
  <si>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</si>
  <si>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</si>
  <si>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</si>
  <si>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</si>
  <si>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</si>
  <si>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</si>
  <si>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</si>
  <si>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</si>
  <si>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</si>
  <si>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</si>
  <si>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</si>
  <si>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</si>
  <si>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</si>
  <si>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</si>
  <si>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</si>
  <si>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</si>
  <si>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</si>
  <si>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</si>
  <si>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</si>
  <si>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</si>
  <si>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</si>
  <si>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</si>
  <si>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</si>
  <si>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</si>
  <si>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</si>
  <si>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</si>
  <si>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</si>
  <si>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</si>
  <si>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</si>
  <si>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</si>
  <si>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</si>
  <si>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</si>
  <si>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</si>
  <si>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</si>
  <si>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</si>
  <si>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</si>
  <si>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</si>
  <si>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</si>
  <si>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</si>
  <si>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</si>
  <si>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</si>
  <si>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</si>
  <si>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</si>
  <si>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</si>
  <si>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</si>
  <si>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</si>
  <si>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</si>
  <si>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</si>
  <si>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</si>
  <si>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</si>
  <si>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</si>
  <si>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</si>
  <si>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</si>
  <si>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</si>
  <si>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</si>
  <si>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</si>
  <si>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</si>
  <si>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</si>
  <si>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</si>
  <si>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</si>
  <si>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</si>
  <si>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</si>
  <si>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</si>
  <si>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</si>
  <si>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</si>
  <si>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</si>
  <si>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</si>
  <si>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</si>
  <si>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</si>
  <si>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</si>
  <si>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</si>
  <si>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</si>
  <si>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</si>
  <si>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</si>
  <si>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</si>
  <si>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</si>
  <si>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</si>
  <si>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</si>
  <si>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</si>
  <si>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</si>
  <si>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</si>
  <si>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</si>
  <si>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</si>
  <si>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</si>
  <si>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</si>
  <si>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</si>
  <si>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</si>
  <si>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</si>
  <si>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</si>
  <si>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</si>
  <si>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</si>
  <si>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</si>
  <si>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</si>
  <si>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</si>
  <si>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</si>
  <si>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</si>
  <si>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</si>
  <si>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</si>
  <si>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</si>
  <si>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</si>
  <si>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</si>
  <si>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</si>
  <si>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</si>
  <si>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</si>
  <si>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</si>
  <si>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</si>
  <si>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</si>
  <si>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</si>
  <si>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</si>
  <si>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</si>
  <si>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</si>
  <si>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</si>
  <si>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</si>
  <si>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</si>
  <si>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</si>
  <si>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</si>
  <si>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</si>
  <si>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</si>
  <si>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</si>
  <si>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</si>
  <si>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</si>
  <si>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</si>
  <si>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</si>
  <si>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</si>
  <si>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</si>
  <si>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</si>
  <si>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</si>
  <si>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</si>
  <si>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</si>
  <si>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</si>
  <si>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</si>
  <si>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</si>
  <si>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</si>
  <si>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</si>
  <si>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</si>
  <si>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</si>
  <si>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</si>
  <si>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</si>
  <si>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</si>
  <si>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</si>
  <si>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</si>
  <si>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</si>
  <si>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</si>
  <si>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</si>
  <si>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</si>
  <si>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</si>
  <si>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</si>
  <si>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</si>
  <si>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</si>
  <si>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</si>
  <si>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</si>
  <si>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</si>
  <si>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</si>
  <si>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</si>
  <si>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</si>
  <si>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</si>
  <si>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</si>
  <si>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</si>
  <si>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</si>
  <si>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</si>
  <si>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</si>
  <si>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</si>
  <si>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</si>
  <si>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</si>
  <si>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</si>
  <si>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</si>
  <si>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</si>
  <si>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</si>
  <si>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</si>
  <si>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</si>
  <si>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</si>
  <si>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</si>
  <si>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</si>
  <si>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</si>
  <si>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</si>
  <si>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</si>
  <si>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</si>
  <si>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</si>
  <si>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</si>
  <si>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</si>
  <si>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</si>
  <si>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</si>
  <si>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</si>
  <si>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</si>
  <si>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</si>
  <si>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</si>
  <si>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</si>
  <si>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</si>
  <si>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</si>
  <si>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</si>
  <si>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</si>
  <si>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</si>
  <si>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</si>
  <si>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</si>
  <si>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</si>
  <si>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</si>
  <si>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</si>
  <si>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</si>
  <si>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</si>
  <si>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</si>
  <si>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</si>
  <si>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</si>
  <si>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</si>
  <si>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</si>
  <si>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</si>
  <si>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</si>
  <si>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</si>
  <si>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</si>
  <si>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</si>
  <si>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</si>
  <si>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</si>
  <si>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</si>
  <si>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</si>
  <si>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</si>
  <si>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</si>
  <si>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</si>
  <si>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</si>
  <si>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</si>
  <si>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</si>
  <si>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</si>
  <si>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</si>
  <si>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</si>
  <si>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</si>
  <si>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</si>
  <si>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</si>
  <si>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</si>
  <si>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</si>
  <si>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</si>
  <si>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</si>
  <si>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</si>
  <si>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</si>
  <si>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</si>
  <si>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</si>
  <si>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</si>
  <si>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</si>
  <si>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</si>
  <si>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</si>
  <si>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</si>
  <si>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</si>
  <si>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</si>
  <si>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</si>
  <si>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</si>
  <si>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</si>
  <si>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</si>
  <si>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</si>
  <si>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</si>
  <si>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</si>
  <si>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</si>
  <si>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</si>
  <si>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</si>
  <si>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</si>
  <si>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</si>
  <si>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</si>
  <si>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</si>
  <si>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</si>
  <si>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</si>
  <si>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</si>
  <si>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</si>
  <si>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</si>
  <si>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</si>
  <si>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</si>
  <si>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</si>
  <si>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</si>
  <si>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</si>
  <si>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</si>
  <si>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</si>
  <si>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</si>
  <si>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</si>
  <si>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</si>
  <si>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</si>
  <si>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</si>
  <si>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</si>
  <si>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</si>
  <si>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</si>
  <si>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</si>
  <si>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</si>
  <si>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</si>
  <si>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</si>
  <si>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</si>
  <si>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</si>
  <si>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</si>
  <si>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</si>
  <si>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</si>
  <si>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</si>
  <si>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</si>
  <si>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</si>
  <si>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</si>
  <si>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</si>
  <si>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</si>
  <si>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</si>
  <si>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</si>
  <si>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</si>
  <si>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</si>
  <si>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</si>
  <si>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</si>
  <si>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</si>
  <si>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</si>
  <si>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</si>
  <si>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</si>
  <si>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</si>
  <si>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</si>
  <si>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</si>
  <si>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</si>
  <si>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</si>
  <si>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</si>
  <si>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</si>
  <si>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</si>
  <si>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</si>
  <si>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</si>
  <si>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</si>
  <si>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</si>
  <si>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</si>
  <si>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</si>
  <si>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</si>
  <si>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</si>
  <si>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</si>
  <si>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</si>
  <si>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</si>
  <si>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</si>
  <si>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</si>
  <si>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</si>
  <si>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</si>
  <si>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</si>
  <si>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</si>
  <si>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</si>
  <si>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</si>
  <si>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</si>
  <si>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</si>
  <si>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</si>
  <si>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</si>
  <si>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</si>
  <si>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</si>
  <si>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</si>
  <si>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</si>
  <si>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</si>
  <si>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</si>
  <si>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</si>
  <si>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</si>
  <si>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</si>
  <si>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</si>
  <si>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</si>
  <si>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</si>
  <si>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</si>
  <si>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</si>
  <si>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</si>
  <si>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</si>
  <si>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</si>
  <si>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</si>
  <si>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</si>
  <si>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</si>
  <si>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</si>
  <si>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</si>
  <si>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</si>
  <si>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</si>
  <si>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</si>
  <si>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</si>
  <si>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</si>
  <si>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</si>
  <si>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</si>
  <si>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</si>
  <si>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</si>
  <si>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</si>
  <si>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</si>
  <si>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</si>
  <si>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</si>
  <si>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</si>
  <si>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</si>
  <si>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</si>
  <si>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</si>
  <si>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</si>
  <si>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</si>
  <si>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</si>
  <si>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</si>
  <si>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</si>
  <si>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</si>
  <si>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</si>
  <si>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</si>
  <si>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</si>
  <si>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</si>
  <si>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</si>
  <si>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</si>
  <si>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</si>
  <si>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</si>
  <si>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</si>
  <si>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</si>
  <si>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</si>
  <si>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</si>
  <si>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</si>
  <si>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</si>
  <si>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</si>
  <si>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</si>
  <si>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</si>
  <si>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</si>
  <si>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</si>
  <si>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</si>
  <si>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</si>
  <si>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</si>
  <si>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</si>
  <si>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</si>
  <si>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</si>
  <si>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</si>
  <si>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</si>
  <si>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</si>
  <si>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</si>
  <si>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</si>
  <si>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</si>
  <si>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</si>
  <si>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</si>
  <si>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</si>
  <si>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</si>
  <si>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</si>
  <si>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</si>
  <si>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</si>
  <si>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</si>
  <si>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</si>
  <si>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</si>
  <si>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</si>
  <si>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</si>
  <si>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</si>
  <si>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</si>
  <si>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</si>
  <si>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</si>
  <si>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</si>
  <si>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</si>
  <si>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</si>
  <si>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</si>
  <si>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</si>
  <si>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</si>
  <si>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</si>
  <si>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</si>
  <si>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</si>
  <si>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</si>
  <si>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</si>
  <si>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</si>
  <si>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</si>
  <si>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</si>
  <si>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</si>
  <si>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</si>
  <si>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</si>
  <si>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</si>
  <si>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</si>
  <si>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</si>
  <si>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</si>
  <si>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</si>
  <si>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</si>
  <si>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</si>
  <si>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</si>
  <si>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</si>
  <si>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</si>
  <si>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</si>
  <si>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</si>
  <si>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</si>
  <si>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</si>
  <si>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</si>
  <si>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</si>
  <si>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</si>
  <si>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</si>
  <si>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</si>
  <si>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</si>
  <si>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</si>
  <si>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</si>
  <si>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</si>
  <si>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</si>
  <si>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</si>
  <si>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</si>
  <si>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</si>
  <si>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</si>
  <si>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</si>
  <si>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</si>
  <si>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</si>
  <si>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</si>
  <si>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</si>
  <si>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</si>
  <si>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</si>
  <si>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</si>
  <si>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</si>
  <si>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</si>
  <si>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</si>
  <si>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</si>
  <si>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</si>
  <si>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</si>
  <si>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</si>
  <si>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</si>
  <si>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</si>
  <si>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</si>
  <si>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</si>
  <si>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</si>
  <si>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</si>
  <si>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</si>
  <si>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</si>
  <si>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</si>
  <si>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</si>
  <si>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</si>
  <si>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</si>
  <si>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</si>
  <si>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</si>
  <si>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</si>
  <si>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</si>
  <si>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</si>
  <si>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</si>
  <si>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</si>
  <si>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</si>
  <si>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</si>
  <si>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</si>
  <si>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</si>
  <si>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</si>
  <si>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</si>
  <si>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</si>
  <si>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</si>
  <si>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</si>
  <si>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</si>
  <si>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</si>
  <si>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</si>
  <si>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</si>
  <si>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</si>
  <si>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</si>
  <si>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</si>
  <si>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</si>
  <si>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</si>
  <si>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</si>
  <si>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</si>
  <si>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</si>
  <si>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</si>
  <si>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</si>
  <si>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</si>
  <si>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</si>
  <si>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</si>
  <si>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</si>
  <si>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</si>
  <si>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</si>
  <si>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</si>
  <si>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</si>
  <si>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</si>
  <si>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</si>
  <si>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</si>
  <si>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</si>
  <si>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</si>
  <si>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</si>
  <si>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</si>
  <si>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</si>
  <si>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</si>
  <si>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</si>
  <si>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</si>
  <si>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</si>
  <si>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</si>
  <si>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</si>
  <si>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</si>
  <si>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</si>
  <si>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</si>
  <si>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</si>
  <si>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</si>
  <si>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</si>
  <si>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</si>
  <si>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</si>
  <si>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</si>
  <si>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</si>
  <si>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</si>
  <si>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</si>
  <si>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</si>
  <si>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</si>
  <si>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</si>
  <si>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</si>
  <si>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</si>
  <si>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</si>
  <si>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</si>
  <si>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</si>
  <si>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</si>
  <si>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</si>
  <si>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</si>
  <si>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</si>
  <si>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</si>
  <si>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</si>
  <si>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</si>
  <si>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</si>
  <si>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</si>
  <si>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</si>
  <si>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</si>
  <si>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</si>
  <si>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</si>
  <si>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</si>
  <si>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</si>
  <si>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</si>
  <si>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</si>
  <si>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</si>
  <si>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</si>
  <si>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</si>
  <si>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</si>
  <si>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</si>
  <si>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</si>
  <si>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</si>
  <si>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</si>
  <si>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</si>
  <si>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</si>
  <si>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</si>
  <si>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</si>
  <si>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</si>
  <si>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</si>
  <si>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</si>
  <si>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</si>
  <si>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</si>
  <si>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</si>
  <si>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</si>
  <si>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</si>
  <si>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</si>
  <si>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</si>
  <si>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</si>
  <si>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</si>
  <si>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</si>
  <si>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</si>
  <si>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</si>
  <si>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</si>
  <si>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</si>
  <si>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</si>
  <si>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</si>
  <si>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</si>
  <si>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</si>
  <si>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</si>
  <si>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</si>
  <si>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</si>
  <si>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</si>
  <si>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</si>
  <si>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</si>
  <si>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</si>
  <si>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</si>
  <si>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</si>
  <si>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</si>
  <si>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</si>
  <si>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</si>
  <si>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</si>
  <si>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</si>
  <si>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</si>
  <si>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</si>
  <si>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</si>
  <si>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</si>
  <si>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</si>
  <si>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</si>
  <si>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</si>
  <si>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</si>
  <si>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</si>
  <si>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</si>
  <si>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</si>
  <si>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</si>
  <si>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</si>
  <si>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</si>
  <si>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</si>
  <si>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</si>
  <si>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</si>
  <si>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</si>
  <si>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</si>
  <si>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</si>
  <si>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</si>
  <si>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</si>
  <si>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</si>
  <si>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</si>
  <si>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</si>
  <si>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</si>
  <si>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</si>
  <si>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</si>
  <si>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</si>
  <si>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</si>
  <si>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</si>
  <si>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</si>
  <si>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</si>
  <si>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</si>
  <si>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</si>
  <si>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</si>
  <si>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</si>
  <si>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</si>
  <si>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</si>
  <si>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</si>
  <si>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</si>
  <si>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</si>
  <si>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</si>
  <si>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</si>
  <si>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</si>
  <si>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</si>
  <si>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</si>
  <si>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</si>
  <si>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</si>
  <si>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</si>
  <si>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</si>
  <si>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</si>
  <si>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</si>
  <si>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</si>
  <si>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</si>
  <si>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</si>
  <si>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</si>
  <si>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</si>
  <si>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</si>
  <si>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</si>
  <si>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</si>
  <si>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</si>
  <si>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</si>
  <si>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</si>
  <si>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</si>
  <si>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</si>
  <si>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</si>
  <si>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</si>
  <si>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</si>
  <si>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</si>
  <si>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</si>
  <si>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</si>
  <si>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</si>
  <si>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</si>
  <si>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</si>
  <si>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</si>
  <si>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</si>
  <si>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</si>
  <si>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</si>
  <si>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</si>
  <si>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</si>
  <si>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</si>
  <si>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</si>
  <si>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</si>
  <si>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</si>
  <si>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</si>
  <si>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</si>
  <si>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</si>
  <si>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</si>
  <si>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</si>
  <si>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</si>
  <si>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</si>
  <si>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</si>
  <si>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</si>
  <si>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</si>
  <si>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</si>
  <si>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</si>
  <si>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</si>
  <si>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</si>
  <si>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</si>
  <si>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</si>
  <si>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</si>
  <si>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</si>
  <si>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</si>
  <si>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</si>
  <si>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</si>
  <si>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</si>
  <si>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</si>
  <si>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</si>
  <si>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</si>
  <si>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</si>
  <si>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</si>
  <si>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</si>
  <si>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</si>
  <si>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</si>
  <si>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</si>
  <si>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</si>
  <si>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</si>
  <si>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</si>
  <si>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</si>
  <si>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</si>
  <si>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</si>
  <si>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</si>
  <si>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</si>
  <si>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</si>
  <si>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</si>
  <si>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</si>
  <si>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</si>
  <si>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</si>
  <si>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</si>
  <si>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</si>
  <si>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</si>
  <si>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</si>
  <si>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</si>
  <si>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</si>
  <si>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</si>
  <si>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</si>
  <si>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</si>
  <si>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</si>
  <si>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</si>
  <si>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</si>
  <si>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</si>
  <si>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</si>
  <si>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</si>
  <si>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</si>
  <si>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</si>
  <si>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</si>
  <si>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</si>
  <si>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</si>
  <si>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</si>
  <si>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</si>
  <si>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</si>
  <si>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</si>
  <si>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</si>
  <si>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</si>
  <si>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</si>
  <si>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</si>
  <si>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</si>
  <si>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</si>
  <si>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</si>
  <si>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</si>
  <si>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</si>
  <si>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</si>
  <si>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</si>
  <si>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</si>
  <si>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</si>
  <si>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</si>
  <si>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</si>
  <si>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</si>
  <si>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</si>
  <si>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</si>
  <si>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</si>
  <si>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</si>
  <si>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</si>
  <si>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</si>
  <si>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</si>
  <si>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</si>
  <si>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</si>
  <si>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</si>
  <si>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</si>
  <si>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</si>
  <si>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</si>
  <si>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</si>
  <si>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</si>
  <si>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</si>
  <si>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</si>
  <si>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</si>
  <si>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</si>
  <si>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</si>
  <si>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</si>
  <si>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</si>
  <si>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</si>
  <si>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</si>
  <si>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</si>
  <si>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</si>
  <si>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</si>
  <si>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</si>
  <si>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</si>
  <si>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</si>
  <si>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</si>
  <si>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</si>
  <si>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</si>
  <si>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</si>
  <si>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</si>
  <si>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</si>
  <si>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</si>
  <si>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</si>
  <si>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</si>
  <si>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</si>
  <si>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</si>
  <si>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</si>
  <si>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</si>
  <si>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</si>
  <si>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</si>
  <si>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</si>
  <si>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</si>
  <si>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</si>
  <si>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</si>
  <si>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</si>
  <si>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</si>
  <si>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</si>
  <si>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</si>
  <si>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</si>
  <si>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</si>
  <si>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</si>
  <si>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</si>
  <si>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</si>
  <si>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</si>
  <si>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</si>
  <si>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</si>
  <si>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</si>
  <si>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</si>
  <si>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</si>
  <si>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</si>
  <si>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</si>
  <si>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</si>
  <si>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</si>
  <si>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</si>
  <si>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</si>
  <si>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</si>
  <si>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</si>
  <si>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</si>
  <si>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</si>
  <si>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</si>
  <si>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</si>
  <si>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</si>
  <si>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</si>
  <si>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</si>
  <si>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</si>
  <si>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</si>
  <si>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</si>
  <si>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</si>
  <si>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</si>
  <si>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</si>
  <si>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</si>
  <si>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</si>
  <si>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</si>
  <si>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</si>
  <si>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</si>
  <si>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</si>
  <si>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</si>
  <si>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</si>
  <si>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</si>
  <si>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</si>
  <si>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</si>
  <si>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</si>
  <si>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</si>
  <si>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</si>
  <si>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</si>
  <si>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</si>
  <si>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</si>
  <si>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</si>
  <si>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</si>
  <si>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</si>
  <si>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</si>
  <si>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</si>
  <si>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</si>
  <si>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</si>
  <si>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</si>
  <si>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</si>
  <si>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</si>
  <si>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</si>
  <si>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</si>
  <si>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</si>
  <si>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</si>
  <si>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</si>
  <si>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</si>
  <si>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</si>
  <si>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</si>
  <si>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</si>
  <si>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</si>
  <si>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</si>
  <si>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</si>
  <si>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</si>
  <si>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</si>
  <si>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</si>
  <si>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</si>
  <si>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</si>
  <si>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</si>
  <si>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</si>
  <si>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</si>
  <si>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</si>
  <si>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</si>
  <si>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</si>
  <si>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</si>
  <si>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</si>
  <si>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</si>
  <si>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</si>
  <si>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</si>
  <si>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</si>
  <si>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</si>
  <si>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</si>
  <si>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</si>
  <si>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</si>
  <si>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</si>
  <si>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</si>
  <si>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</si>
  <si>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</si>
  <si>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</si>
  <si>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</si>
  <si>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</si>
  <si>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</si>
  <si>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</si>
  <si>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</si>
  <si>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</si>
  <si>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</si>
  <si>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</si>
  <si>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</si>
  <si>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</si>
  <si>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</si>
  <si>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</si>
  <si>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</si>
  <si>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</si>
  <si>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</si>
  <si>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</si>
  <si>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</si>
  <si>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</si>
  <si>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</si>
  <si>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</si>
  <si>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</si>
  <si>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</si>
  <si>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</si>
  <si>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</si>
  <si>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</si>
  <si>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</si>
  <si>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</si>
  <si>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</si>
  <si>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</si>
  <si>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</si>
  <si>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</si>
  <si>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</si>
  <si>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</si>
  <si>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</si>
  <si>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</si>
  <si>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</si>
  <si>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</si>
  <si>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</si>
  <si>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</si>
  <si>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</si>
  <si>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</si>
  <si>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</si>
  <si>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</si>
  <si>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</si>
  <si>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</si>
  <si>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</si>
  <si>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</si>
  <si>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</si>
  <si>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</si>
  <si>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</si>
  <si>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</si>
  <si>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</si>
  <si>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</si>
  <si>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</si>
  <si>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</si>
  <si>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</si>
  <si>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</si>
  <si>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</si>
  <si>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</si>
  <si>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</si>
  <si>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</si>
  <si>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</si>
  <si>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</si>
  <si>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</si>
  <si>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</si>
  <si>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</si>
  <si>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</si>
  <si>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</si>
  <si>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</si>
  <si>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</si>
  <si>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</si>
  <si>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</si>
  <si>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</si>
  <si>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</si>
  <si>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</si>
  <si>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</si>
  <si>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</si>
  <si>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</si>
  <si>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</si>
  <si>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</si>
  <si>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</si>
  <si>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</si>
  <si>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</si>
  <si>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</si>
  <si>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</si>
  <si>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</si>
  <si>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</si>
  <si>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</si>
  <si>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</si>
  <si>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</si>
  <si>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</si>
  <si>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</si>
  <si>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</si>
  <si>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</si>
  <si>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</si>
  <si>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</si>
  <si>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</si>
  <si>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</si>
  <si>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</si>
  <si>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</si>
  <si>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</si>
  <si>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</si>
  <si>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</si>
  <si>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</si>
  <si>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</si>
  <si>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</si>
  <si>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</si>
  <si>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</si>
  <si>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</si>
  <si>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</si>
  <si>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</si>
  <si>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</si>
  <si>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</si>
  <si>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</si>
  <si>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</si>
  <si>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</si>
  <si>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</si>
  <si>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</si>
  <si>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</si>
  <si>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</si>
  <si>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</si>
  <si>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</si>
  <si>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</si>
  <si>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</si>
  <si>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</si>
  <si>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</si>
  <si>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</si>
  <si>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</si>
  <si>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</si>
  <si>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</si>
  <si>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</si>
  <si>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</si>
  <si>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</si>
  <si>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</si>
  <si>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</si>
  <si>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</si>
  <si>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</si>
  <si>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</si>
  <si>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</si>
  <si>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</si>
  <si>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</si>
  <si>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</si>
  <si>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</si>
  <si>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</si>
  <si>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</si>
  <si>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</si>
  <si>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</si>
  <si>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</si>
  <si>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</si>
  <si>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</si>
  <si>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</si>
  <si>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</si>
  <si>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</si>
  <si>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</si>
  <si>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</si>
  <si>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</si>
  <si>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</si>
  <si>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</si>
  <si>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</si>
  <si>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</si>
  <si>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</si>
  <si>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</si>
  <si>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</si>
  <si>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</si>
  <si>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</si>
  <si>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</si>
  <si>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</si>
  <si>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</si>
  <si>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</si>
  <si>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</si>
  <si>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</si>
  <si>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</si>
  <si>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</si>
  <si>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</si>
  <si>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</si>
  <si>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</si>
  <si>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</si>
  <si>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</si>
  <si>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</si>
  <si>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</si>
  <si>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</si>
  <si>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</si>
  <si>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</si>
  <si>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</si>
  <si>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</si>
  <si>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</si>
  <si>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</si>
  <si>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</si>
  <si>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</si>
  <si>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</si>
  <si>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</si>
  <si>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</si>
  <si>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</si>
  <si>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</si>
  <si>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</si>
  <si>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</si>
  <si>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</si>
  <si>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</si>
  <si>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</si>
  <si>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</si>
  <si>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</si>
  <si>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</si>
  <si>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</si>
  <si>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</si>
  <si>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</si>
  <si>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</si>
  <si>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</si>
  <si>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</si>
  <si>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</si>
  <si>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</si>
  <si>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</si>
  <si>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</si>
  <si>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</si>
  <si>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</si>
  <si>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</si>
  <si>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</si>
  <si>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</si>
  <si>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</si>
  <si>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</si>
  <si>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</si>
  <si>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</si>
  <si>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</si>
  <si>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</si>
  <si>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</si>
  <si>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</si>
  <si>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</si>
  <si>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</si>
  <si>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</si>
  <si>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</si>
  <si>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</si>
  <si>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</si>
  <si>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</si>
  <si>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</si>
  <si>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</si>
  <si>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</si>
  <si>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</si>
  <si>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</si>
  <si>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</si>
  <si>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</si>
  <si>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</si>
  <si>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</si>
  <si>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</si>
  <si>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</si>
  <si>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</si>
  <si>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</si>
  <si>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</si>
  <si>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</si>
  <si>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</si>
  <si>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</si>
  <si>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</si>
  <si>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</si>
  <si>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</si>
  <si>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</si>
  <si>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</si>
  <si>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</si>
  <si>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</si>
  <si>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</si>
  <si>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</si>
  <si>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</si>
  <si>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</si>
  <si>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</si>
  <si>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</si>
  <si>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</si>
  <si>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</si>
  <si>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</si>
  <si>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</si>
  <si>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</si>
  <si>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</si>
  <si>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</si>
  <si>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</si>
  <si>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</si>
  <si>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</si>
  <si>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</si>
  <si>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</si>
  <si>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</si>
  <si>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</si>
  <si>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</si>
  <si>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</si>
  <si>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</si>
  <si>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</si>
  <si>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</si>
  <si>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</si>
  <si>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</si>
  <si>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</si>
  <si>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</si>
  <si>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</si>
  <si>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</si>
  <si>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</si>
  <si>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</si>
  <si>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</si>
  <si>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</si>
  <si>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</si>
  <si>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</si>
  <si>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</si>
  <si>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</si>
  <si>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</si>
  <si>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</si>
  <si>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</si>
  <si>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</si>
  <si>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</si>
  <si>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</si>
  <si>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</si>
  <si>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</si>
  <si>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</si>
  <si>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</si>
  <si>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</si>
  <si>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</si>
  <si>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</si>
  <si>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</si>
  <si>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</si>
  <si>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</si>
  <si>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</si>
  <si>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</si>
  <si>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</si>
  <si>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</si>
  <si>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</si>
  <si>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</si>
  <si>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</si>
  <si>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</si>
  <si>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</si>
  <si>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</si>
  <si>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</si>
  <si>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</si>
  <si>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</si>
  <si>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</si>
  <si>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</si>
  <si>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</si>
  <si>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</si>
  <si>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</si>
  <si>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</si>
  <si>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</si>
  <si>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</si>
  <si>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</si>
  <si>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</si>
  <si>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</si>
  <si>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</si>
  <si>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</si>
  <si>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</si>
  <si>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</si>
  <si>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</si>
  <si>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</si>
  <si>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</si>
  <si>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</si>
  <si>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</si>
  <si>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</si>
  <si>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</si>
  <si>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</si>
  <si>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</si>
  <si>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</si>
  <si>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</si>
  <si>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</si>
  <si>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</si>
  <si>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</si>
  <si>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</si>
  <si>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</si>
  <si>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</si>
  <si>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</si>
  <si>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</si>
  <si>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</si>
  <si>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</si>
  <si>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</si>
  <si>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</si>
  <si>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</si>
  <si>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</si>
  <si>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</si>
  <si>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</si>
  <si>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</si>
  <si>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</si>
  <si>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</si>
  <si>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</si>
  <si>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</si>
  <si>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</si>
  <si>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</si>
  <si>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</si>
  <si>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</si>
  <si>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</si>
  <si>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</si>
  <si>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</si>
  <si>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</si>
  <si>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</si>
  <si>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</si>
  <si>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</si>
  <si>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</si>
  <si>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</si>
  <si>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</si>
  <si>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</si>
  <si>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</si>
  <si>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</si>
  <si>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</si>
  <si>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</si>
  <si>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</si>
  <si>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</si>
  <si>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</si>
  <si>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</si>
  <si>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</si>
  <si>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</si>
  <si>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</si>
  <si>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</si>
  <si>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</si>
  <si>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</si>
  <si>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</si>
  <si>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</si>
  <si>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</si>
  <si>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</si>
  <si>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</si>
  <si>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</si>
  <si>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</si>
  <si>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</si>
  <si>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</si>
  <si>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</si>
  <si>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</si>
  <si>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</si>
  <si>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</si>
  <si>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</si>
  <si>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</si>
  <si>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</si>
  <si>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</si>
  <si>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</si>
  <si>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</si>
  <si>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</si>
  <si>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</si>
  <si>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</si>
  <si>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</si>
  <si>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</si>
  <si>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</si>
  <si>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</si>
  <si>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</si>
  <si>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</si>
  <si>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</si>
  <si>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</si>
  <si>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</si>
  <si>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</si>
  <si>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</si>
  <si>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</si>
  <si>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</si>
  <si>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</si>
  <si>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</si>
  <si>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</si>
  <si>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</si>
  <si>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</si>
  <si>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</si>
  <si>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</si>
  <si>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</si>
  <si>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</si>
  <si>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</si>
  <si>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</si>
  <si>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</si>
  <si>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</si>
  <si>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</si>
  <si>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</si>
  <si>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</si>
  <si>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</si>
  <si>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</si>
  <si>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</si>
  <si>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</si>
  <si>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</si>
  <si>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</si>
  <si>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</si>
  <si>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</si>
  <si>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</si>
  <si>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</si>
  <si>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</si>
  <si>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</si>
  <si>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</si>
  <si>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</si>
  <si>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</si>
  <si>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</si>
  <si>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</si>
  <si>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</si>
  <si>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</si>
  <si>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</si>
  <si>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</si>
  <si>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</si>
  <si>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</si>
  <si>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</si>
  <si>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</si>
  <si>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</si>
  <si>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</si>
  <si>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</si>
  <si>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</si>
  <si>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</si>
  <si>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</si>
  <si>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</si>
  <si>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</si>
  <si>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</si>
  <si>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</si>
  <si>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</si>
  <si>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</si>
  <si>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</si>
  <si>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</si>
  <si>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</si>
  <si>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</si>
  <si>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</si>
  <si>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</si>
  <si>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</si>
  <si>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</si>
  <si>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</si>
  <si>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</si>
  <si>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</si>
  <si>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</si>
  <si>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</si>
  <si>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</si>
  <si>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</si>
  <si>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</si>
  <si>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</si>
  <si>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</si>
  <si>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</si>
  <si>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</si>
  <si>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</si>
  <si>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</si>
  <si>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</si>
  <si>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</si>
  <si>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</si>
  <si>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</si>
  <si>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</si>
  <si>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</si>
  <si>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</si>
  <si>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</si>
  <si>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</si>
  <si>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</si>
  <si>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</si>
  <si>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</si>
  <si>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</si>
  <si>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</si>
  <si>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</si>
  <si>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</si>
  <si>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</si>
  <si>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</si>
  <si>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</si>
  <si>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</si>
  <si>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</si>
  <si>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</si>
  <si>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</si>
  <si>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</si>
  <si>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</si>
  <si>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</si>
  <si>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</si>
  <si>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</si>
  <si>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</si>
  <si>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</si>
  <si>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</si>
  <si>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</si>
  <si>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</si>
  <si>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</si>
  <si>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</si>
  <si>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</si>
  <si>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</si>
  <si>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</si>
  <si>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</si>
  <si>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</si>
  <si>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</si>
  <si>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</si>
  <si>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</si>
  <si>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</si>
  <si>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</si>
  <si>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</si>
  <si>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</si>
  <si>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</si>
  <si>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</si>
  <si>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</si>
  <si>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</si>
  <si>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</si>
  <si>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</si>
  <si>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</si>
  <si>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</si>
  <si>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</si>
  <si>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</si>
  <si>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</si>
  <si>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</si>
  <si>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</si>
  <si>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</si>
  <si>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</si>
  <si>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</si>
  <si>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</si>
  <si>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</si>
  <si>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</si>
  <si>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</si>
  <si>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</si>
  <si>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</si>
  <si>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</si>
  <si>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</si>
  <si>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</si>
  <si>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</si>
  <si>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</si>
  <si>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</si>
  <si>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</si>
  <si>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</si>
  <si>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</si>
  <si>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</si>
  <si>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</si>
  <si>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</si>
  <si>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</si>
  <si>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</si>
  <si>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</si>
  <si>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</si>
  <si>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</si>
  <si>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</si>
  <si>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</si>
  <si>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</si>
  <si>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</si>
  <si>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</si>
  <si>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</si>
  <si>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</si>
  <si>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</si>
  <si>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</si>
  <si>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</si>
  <si>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</si>
  <si>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</si>
  <si>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</si>
  <si>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</si>
  <si>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</si>
  <si>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</si>
  <si>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</si>
  <si>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</si>
  <si>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</si>
  <si>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</si>
  <si>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</si>
  <si>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</si>
  <si>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</si>
  <si>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</si>
  <si>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</si>
  <si>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</si>
  <si>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</si>
  <si>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</si>
  <si>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</si>
  <si>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</si>
  <si>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</si>
  <si>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</si>
  <si>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</si>
  <si>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</si>
  <si>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</si>
  <si>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</si>
  <si>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</si>
  <si>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</si>
  <si>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</si>
  <si>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</si>
  <si>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</si>
  <si>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</si>
  <si>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</si>
  <si>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</si>
  <si>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</si>
  <si>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</si>
  <si>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</si>
  <si>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</si>
  <si>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</si>
  <si>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</si>
  <si>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</si>
  <si>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</si>
  <si>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</si>
  <si>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</si>
  <si>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</si>
  <si>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</si>
  <si>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</si>
  <si>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</si>
  <si>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</si>
  <si>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</si>
  <si>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</si>
  <si>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</si>
  <si>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</si>
  <si>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</si>
  <si>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</si>
  <si>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</si>
  <si>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</si>
  <si>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</si>
  <si>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</si>
  <si>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</si>
  <si>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</si>
  <si>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</si>
  <si>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</si>
  <si>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</si>
  <si>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</si>
  <si>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</si>
  <si>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</si>
  <si>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</si>
  <si>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</si>
  <si>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</si>
  <si>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</si>
  <si>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</si>
  <si>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</si>
  <si>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</si>
  <si>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</si>
  <si>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</si>
  <si>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</si>
  <si>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</si>
  <si>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</si>
  <si>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</si>
  <si>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</si>
  <si>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</si>
  <si>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</si>
  <si>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</si>
  <si>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</si>
  <si>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</si>
  <si>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</si>
  <si>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</si>
  <si>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</si>
  <si>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</si>
  <si>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</si>
  <si>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</si>
  <si>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</si>
  <si>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</si>
  <si>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</si>
  <si>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</si>
  <si>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</si>
  <si>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</si>
  <si>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</si>
  <si>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</si>
  <si>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</si>
  <si>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</si>
  <si>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</si>
  <si>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</si>
  <si>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</si>
  <si>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</si>
  <si>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</si>
  <si>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</si>
  <si>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</si>
  <si>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</si>
  <si>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</si>
  <si>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</si>
  <si>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</si>
  <si>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</si>
  <si>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</si>
  <si>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</si>
  <si>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</si>
  <si>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</si>
  <si>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</si>
  <si>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</si>
  <si>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</si>
  <si>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</si>
  <si>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</si>
  <si>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</si>
  <si>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</si>
  <si>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</si>
  <si>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</si>
  <si>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</si>
  <si>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</si>
  <si>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</si>
  <si>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</si>
  <si>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</si>
  <si>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</si>
  <si>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</si>
  <si>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</si>
  <si>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</si>
  <si>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</si>
  <si>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</si>
  <si>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</si>
  <si>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</si>
  <si>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</si>
  <si>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</si>
  <si>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</si>
  <si>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</si>
  <si>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</si>
  <si>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</si>
  <si>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</si>
  <si>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</si>
  <si>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</si>
  <si>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</si>
  <si>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</si>
  <si>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</si>
  <si>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</si>
  <si>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</si>
  <si>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</si>
  <si>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</si>
  <si>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</si>
  <si>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</si>
  <si>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</si>
  <si>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</si>
  <si>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</si>
  <si>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</si>
  <si>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</si>
  <si>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</si>
  <si>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</si>
  <si>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</si>
  <si>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</si>
  <si>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</si>
  <si>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</si>
  <si>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</si>
  <si>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</si>
  <si>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</si>
  <si>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</si>
  <si>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</si>
  <si>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</si>
  <si>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</si>
  <si>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</si>
  <si>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</si>
  <si>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</si>
  <si>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</si>
  <si>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</si>
  <si>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</si>
  <si>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</si>
  <si>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</si>
  <si>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</si>
  <si>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</si>
  <si>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</si>
  <si>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</si>
  <si>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</si>
  <si>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</si>
  <si>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</si>
  <si>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</si>
  <si>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</si>
  <si>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</si>
  <si>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</si>
  <si>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</si>
  <si>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</si>
  <si>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</si>
  <si>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</si>
  <si>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</si>
  <si>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</si>
  <si>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</si>
  <si>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</si>
  <si>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</si>
  <si>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</si>
  <si>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</si>
  <si>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</si>
  <si>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</si>
  <si>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</si>
  <si>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</si>
  <si>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</si>
  <si>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</si>
  <si>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</si>
  <si>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</si>
  <si>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</si>
  <si>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</si>
  <si>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</si>
  <si>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</si>
  <si>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</si>
  <si>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</si>
  <si>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</si>
  <si>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</si>
  <si>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</si>
  <si>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</si>
  <si>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</si>
  <si>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</si>
  <si>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</si>
  <si>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</si>
  <si>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</si>
  <si>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</si>
  <si>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</si>
  <si>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</si>
  <si>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</si>
  <si>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</si>
  <si>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</si>
  <si>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</si>
  <si>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</si>
  <si>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</si>
  <si>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</si>
  <si>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</si>
  <si>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</si>
  <si>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</si>
  <si>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</si>
  <si>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</si>
  <si>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</si>
  <si>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</si>
  <si>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</si>
  <si>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</si>
  <si>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</si>
  <si>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</si>
  <si>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</si>
  <si>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</si>
  <si>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</si>
  <si>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</si>
  <si>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</si>
  <si>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</si>
  <si>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</si>
  <si>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</si>
  <si>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</si>
  <si>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</si>
  <si>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</si>
  <si>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</si>
  <si>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</si>
  <si>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</si>
  <si>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</si>
  <si>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</si>
  <si>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</si>
  <si>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</si>
  <si>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</si>
  <si>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</si>
  <si>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</si>
  <si>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</si>
  <si>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</si>
  <si>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</si>
  <si>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</si>
  <si>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</si>
  <si>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</si>
  <si>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</si>
  <si>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</si>
  <si>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</si>
  <si>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</si>
  <si>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</si>
  <si>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</si>
  <si>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</si>
  <si>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</si>
  <si>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</si>
  <si>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</si>
  <si>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</si>
  <si>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</si>
  <si>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</si>
  <si>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</si>
  <si>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</si>
  <si>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</si>
  <si>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</si>
  <si>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</si>
  <si>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</si>
  <si>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</si>
  <si>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</si>
  <si>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</si>
  <si>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</si>
  <si>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</si>
  <si>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</si>
  <si>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</si>
  <si>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</si>
  <si>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</si>
  <si>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</si>
  <si>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</si>
  <si>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</si>
  <si>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</si>
  <si>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</si>
  <si>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</si>
  <si>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</si>
  <si>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</si>
  <si>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</si>
  <si>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</si>
  <si>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</si>
  <si>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</si>
  <si>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</si>
  <si>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</si>
  <si>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</si>
  <si>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</si>
  <si>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</si>
  <si>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</si>
  <si>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</si>
  <si>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</si>
  <si>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</si>
  <si>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</si>
  <si>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</si>
  <si>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</si>
  <si>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</si>
  <si>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</si>
  <si>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</si>
  <si>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</si>
  <si>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</si>
  <si>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</si>
  <si>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</si>
  <si>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</si>
  <si>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</si>
  <si>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</si>
  <si>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</si>
  <si>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</si>
  <si>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</si>
  <si>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</si>
  <si>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</si>
  <si>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</si>
  <si>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</si>
  <si>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</si>
  <si>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</si>
  <si>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</si>
  <si>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</si>
  <si>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</si>
  <si>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</si>
  <si>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</si>
  <si>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</si>
  <si>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</si>
  <si>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</si>
  <si>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</si>
  <si>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</si>
  <si>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</si>
  <si>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</si>
  <si>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</si>
  <si>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</si>
  <si>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</si>
  <si>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</si>
  <si>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</si>
  <si>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</si>
  <si>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</si>
  <si>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</si>
  <si>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</si>
  <si>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</si>
  <si>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</si>
  <si>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</si>
  <si>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</si>
  <si>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</si>
  <si>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</si>
  <si>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</si>
  <si>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</si>
  <si>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</si>
  <si>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</si>
  <si>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</si>
  <si>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</si>
  <si>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</si>
  <si>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</si>
  <si>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</si>
  <si>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</si>
  <si>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</si>
  <si>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</si>
  <si>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</si>
  <si>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</si>
  <si>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</si>
  <si>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</si>
  <si>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</si>
  <si>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</si>
  <si>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</si>
  <si>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</si>
  <si>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</si>
  <si>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</si>
  <si>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</si>
  <si>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</si>
  <si>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</si>
  <si>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</si>
  <si>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</si>
  <si>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</si>
  <si>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</si>
  <si>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</si>
  <si>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</si>
  <si>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</si>
  <si>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</si>
  <si>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</si>
  <si>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</si>
  <si>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</si>
  <si>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</si>
  <si>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</si>
  <si>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</si>
  <si>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</si>
  <si>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</si>
  <si>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</si>
  <si>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</si>
  <si>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</si>
  <si>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</si>
  <si>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</si>
  <si>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</si>
  <si>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</si>
  <si>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</si>
  <si>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</si>
  <si>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</si>
  <si>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</si>
  <si>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</si>
  <si>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</si>
  <si>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</si>
  <si>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</si>
  <si>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</si>
  <si>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</si>
  <si>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</si>
  <si>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</si>
  <si>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</si>
  <si>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</si>
  <si>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</si>
  <si>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</si>
  <si>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</si>
  <si>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</si>
  <si>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</si>
  <si>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</si>
  <si>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</si>
  <si>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</si>
  <si>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</si>
  <si>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</si>
  <si>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</si>
  <si>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</si>
  <si>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</si>
  <si>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</si>
  <si>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</si>
  <si>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</si>
  <si>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</si>
  <si>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</si>
  <si>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</si>
  <si>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</si>
  <si>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</si>
  <si>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</si>
  <si>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</si>
  <si>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</si>
  <si>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</si>
  <si>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</si>
  <si>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</si>
  <si>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</si>
  <si>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</si>
  <si>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</si>
  <si>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</si>
  <si>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</si>
  <si>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</si>
  <si>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</si>
  <si>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</si>
  <si>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</si>
  <si>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</si>
  <si>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</si>
  <si>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</si>
  <si>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</si>
  <si>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</si>
  <si>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</si>
  <si>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</si>
  <si>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</si>
  <si>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</si>
  <si>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</si>
  <si>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</si>
  <si>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</si>
  <si>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</si>
  <si>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</si>
  <si>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</si>
  <si>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</si>
  <si>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</si>
  <si>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</si>
  <si>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</si>
  <si>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</si>
  <si>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</si>
  <si>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</si>
  <si>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</si>
  <si>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</si>
  <si>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</si>
  <si>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</si>
  <si>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</si>
  <si>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</si>
  <si>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</si>
  <si>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</si>
  <si>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</si>
  <si>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</si>
  <si>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</si>
  <si>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</si>
  <si>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</si>
  <si>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</si>
  <si>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</si>
  <si>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</si>
  <si>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</si>
  <si>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</si>
  <si>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</si>
  <si>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</si>
  <si>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</si>
  <si>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</si>
  <si>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</si>
  <si>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</si>
  <si>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</si>
  <si>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</si>
  <si>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</si>
  <si>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</si>
  <si>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</si>
  <si>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</si>
  <si>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</si>
  <si>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</si>
  <si>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</si>
  <si>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</si>
  <si>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</si>
  <si>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</si>
  <si>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</si>
  <si>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</si>
  <si>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</si>
  <si>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</si>
  <si>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</si>
  <si>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</si>
  <si>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</si>
  <si>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</si>
  <si>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</si>
  <si>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</si>
  <si>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</si>
  <si>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</si>
  <si>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</si>
  <si>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</si>
  <si>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</si>
  <si>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</si>
  <si>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</si>
  <si>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</si>
  <si>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</si>
  <si>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</si>
  <si>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</si>
  <si>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</si>
  <si>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</si>
  <si>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</si>
  <si>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</si>
  <si>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</si>
  <si>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</si>
  <si>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</si>
  <si>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</si>
  <si>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</si>
  <si>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</si>
  <si>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</si>
  <si>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</si>
  <si>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</si>
  <si>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</si>
  <si>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</si>
  <si>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</si>
  <si>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</si>
  <si>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</si>
  <si>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</si>
  <si>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</si>
  <si>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</si>
  <si>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</si>
  <si>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</si>
  <si>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</si>
  <si>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</si>
  <si>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</si>
  <si>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</si>
  <si>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</si>
  <si>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</si>
  <si>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</si>
  <si>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</si>
  <si>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</si>
  <si>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</si>
  <si>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</si>
  <si>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</si>
  <si>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</si>
  <si>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</si>
  <si>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</si>
  <si>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</si>
  <si>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</si>
  <si>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</si>
  <si>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</si>
  <si>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</si>
  <si>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</si>
  <si>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</si>
  <si>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</si>
  <si>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</si>
  <si>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</si>
  <si>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</si>
  <si>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</si>
  <si>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</si>
  <si>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</si>
  <si>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</si>
  <si>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</si>
  <si>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</si>
  <si>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</si>
  <si>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</si>
  <si>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</si>
  <si>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</si>
  <si>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</si>
  <si>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</si>
  <si>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</si>
  <si>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</si>
  <si>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</si>
  <si>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</si>
  <si>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</si>
  <si>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</si>
  <si>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</si>
  <si>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</si>
  <si>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</si>
  <si>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</si>
  <si>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</si>
  <si>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</si>
  <si>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</si>
  <si>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</si>
  <si>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</si>
  <si>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</si>
  <si>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</si>
  <si>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</si>
  <si>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</si>
  <si>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</si>
  <si>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</si>
  <si>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</si>
  <si>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</si>
  <si>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</si>
  <si>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</si>
  <si>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</si>
  <si>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</si>
  <si>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</si>
  <si>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</si>
  <si>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</si>
  <si>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</si>
  <si>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</si>
  <si>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</si>
  <si>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</si>
  <si>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</si>
  <si>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</si>
  <si>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</si>
  <si>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</si>
  <si>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</si>
  <si>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</si>
  <si>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</si>
  <si>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</si>
  <si>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</si>
  <si>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</si>
  <si>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</si>
  <si>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</si>
  <si>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</si>
  <si>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</si>
  <si>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</si>
  <si>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</si>
  <si>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</si>
  <si>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</si>
  <si>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</si>
  <si>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</si>
  <si>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</si>
  <si>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</si>
  <si>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</si>
  <si>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</si>
  <si>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</si>
  <si>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</si>
  <si>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</si>
  <si>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</si>
  <si>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</si>
  <si>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</si>
  <si>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</si>
  <si>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</si>
  <si>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</si>
  <si>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</si>
  <si>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</si>
  <si>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</si>
  <si>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</si>
  <si>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</si>
  <si>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</si>
  <si>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</si>
  <si>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</si>
  <si>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</si>
  <si>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</si>
  <si>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</si>
  <si>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</si>
  <si>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</si>
  <si>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</si>
  <si>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</si>
  <si>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</si>
  <si>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</si>
  <si>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</si>
  <si>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</si>
  <si>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</si>
  <si>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</si>
  <si>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</si>
  <si>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</si>
  <si>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</si>
  <si>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</si>
  <si>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</si>
  <si>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</si>
  <si>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</si>
  <si>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</si>
  <si>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</si>
  <si>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</si>
  <si>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</si>
  <si>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</si>
  <si>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</si>
  <si>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</si>
  <si>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</si>
  <si>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</si>
  <si>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</si>
  <si>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</si>
  <si>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</si>
  <si>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</si>
  <si>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</si>
  <si>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</si>
  <si>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</si>
  <si>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</si>
  <si>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</si>
  <si>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</si>
  <si>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</si>
  <si>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</si>
  <si>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</si>
  <si>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</si>
  <si>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</si>
  <si>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</si>
  <si>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</si>
  <si>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</si>
  <si>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</si>
  <si>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</si>
  <si>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</si>
  <si>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</si>
  <si>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</si>
  <si>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</si>
  <si>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</si>
  <si>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</si>
  <si>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</si>
  <si>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</si>
  <si>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</si>
  <si>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</si>
  <si>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</si>
  <si>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</si>
  <si>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</si>
  <si>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</si>
  <si>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</si>
  <si>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</si>
  <si>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</si>
  <si>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</si>
  <si>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</si>
  <si>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</si>
  <si>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</si>
  <si>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</si>
  <si>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</si>
  <si>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</si>
  <si>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</si>
  <si>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</si>
  <si>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</si>
  <si>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</si>
  <si>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</si>
  <si>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</si>
  <si>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</si>
  <si>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</si>
  <si>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</si>
  <si>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</si>
  <si>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</si>
  <si>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</si>
  <si>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</si>
  <si>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</si>
  <si>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</si>
  <si>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</si>
  <si>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</si>
  <si>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</si>
  <si>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</si>
  <si>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</si>
  <si>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</si>
  <si>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</si>
  <si>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</si>
  <si>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</si>
  <si>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</si>
  <si>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</si>
  <si>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</si>
  <si>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</si>
  <si>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</si>
  <si>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</si>
  <si>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</si>
  <si>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</si>
  <si>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</si>
  <si>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</si>
  <si>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</si>
  <si>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</si>
  <si>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</si>
  <si>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</si>
  <si>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</si>
  <si>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</si>
  <si>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</si>
  <si>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</si>
  <si>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</si>
  <si>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</si>
  <si>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</si>
  <si>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</si>
  <si>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</si>
  <si>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</si>
  <si>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</si>
  <si>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</si>
  <si>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</si>
  <si>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</si>
  <si>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</si>
  <si>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</si>
  <si>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</si>
  <si>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</si>
  <si>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</si>
  <si>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</si>
  <si>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</si>
  <si>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</si>
  <si>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</si>
  <si>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</si>
  <si>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</si>
  <si>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</si>
  <si>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</si>
  <si>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</si>
  <si>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</si>
  <si>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</si>
  <si>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</si>
  <si>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</si>
  <si>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</si>
  <si>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</si>
  <si>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</si>
  <si>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</si>
  <si>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</si>
  <si>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</si>
  <si>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</si>
  <si>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</si>
  <si>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</si>
  <si>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</si>
  <si>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</si>
  <si>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</si>
  <si>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</si>
  <si>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</si>
  <si>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</si>
  <si>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</si>
  <si>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</si>
  <si>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</si>
  <si>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</si>
  <si>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</si>
  <si>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</si>
  <si>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</si>
  <si>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</si>
  <si>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</si>
  <si>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</si>
  <si>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</si>
  <si>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</si>
  <si>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</si>
  <si>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</si>
  <si>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</si>
  <si>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</si>
  <si>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</si>
  <si>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</si>
  <si>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</si>
  <si>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</si>
  <si>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</si>
  <si>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</si>
  <si>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</si>
  <si>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</si>
  <si>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</si>
  <si>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</si>
  <si>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</si>
  <si>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</si>
  <si>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</si>
  <si>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</si>
  <si>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</si>
  <si>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</si>
  <si>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</si>
  <si>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</si>
  <si>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</si>
  <si>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</si>
  <si>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</si>
  <si>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</si>
  <si>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</si>
  <si>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</si>
  <si>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</si>
  <si>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</si>
  <si>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</si>
  <si>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</si>
  <si>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</si>
  <si>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</si>
  <si>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</si>
  <si>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</si>
  <si>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</si>
  <si>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</si>
  <si>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</si>
  <si>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</si>
  <si>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</si>
  <si>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</si>
  <si>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</si>
  <si>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</si>
  <si>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</si>
  <si>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</si>
  <si>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</si>
  <si>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</si>
  <si>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</si>
  <si>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</si>
  <si>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</si>
  <si>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</si>
  <si>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</si>
  <si>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</si>
  <si>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</si>
  <si>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</si>
  <si>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</si>
  <si>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</si>
  <si>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</si>
  <si>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</si>
  <si>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</si>
  <si>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</si>
  <si>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</si>
  <si>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</si>
  <si>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</si>
  <si>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</si>
  <si>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</si>
  <si>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</si>
  <si>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</si>
  <si>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</si>
  <si>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</si>
  <si>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</si>
  <si>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</si>
  <si>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</si>
  <si>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</si>
  <si>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</si>
  <si>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</si>
  <si>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</si>
  <si>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</si>
  <si>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</si>
  <si>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</si>
  <si>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</si>
  <si>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</si>
  <si>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</si>
  <si>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</si>
  <si>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</si>
  <si>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</si>
  <si>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</si>
  <si>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</si>
  <si>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</si>
  <si>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</si>
  <si>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</si>
  <si>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</si>
  <si>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</si>
  <si>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</si>
  <si>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</si>
  <si>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</si>
  <si>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</si>
  <si>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</si>
  <si>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</si>
  <si>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</si>
  <si>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</si>
  <si>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</si>
  <si>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</si>
  <si>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</si>
  <si>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</si>
  <si>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</si>
  <si>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</si>
  <si>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</si>
  <si>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</si>
  <si>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</si>
  <si>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</si>
  <si>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</si>
  <si>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</si>
  <si>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</si>
  <si>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</si>
  <si>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</si>
  <si>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</si>
  <si>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</si>
  <si>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</si>
  <si>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</si>
  <si>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</si>
  <si>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</si>
  <si>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</si>
  <si>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</si>
  <si>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</si>
  <si>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</si>
  <si>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</si>
  <si>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</si>
  <si>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</si>
  <si>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</si>
  <si>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</si>
  <si>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</si>
  <si>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</si>
  <si>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</si>
  <si>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</si>
  <si>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</si>
  <si>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</si>
  <si>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</si>
  <si>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</si>
  <si>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</si>
  <si>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</si>
  <si>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</si>
  <si>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</si>
  <si>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</si>
  <si>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</si>
  <si>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</si>
  <si>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</si>
  <si>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</si>
  <si>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</si>
  <si>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</si>
  <si>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</si>
  <si>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</si>
  <si>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</si>
  <si>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</si>
  <si>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</si>
  <si>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</si>
  <si>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</si>
  <si>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</si>
  <si>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</si>
  <si>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</si>
  <si>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</si>
  <si>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</si>
  <si>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</si>
  <si>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</si>
  <si>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</si>
  <si>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</si>
  <si>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</si>
  <si>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</si>
  <si>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</si>
  <si>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</si>
  <si>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</si>
  <si>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</si>
  <si>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</si>
  <si>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</si>
  <si>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</si>
  <si>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</si>
  <si>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</si>
  <si>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</si>
  <si>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</si>
  <si>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</si>
  <si>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</si>
  <si>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</si>
  <si>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</si>
  <si>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</si>
  <si>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</si>
  <si>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</si>
  <si>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</si>
  <si>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</si>
  <si>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</si>
  <si>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</si>
  <si>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</si>
  <si>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</si>
  <si>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</si>
  <si>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</si>
  <si>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</si>
  <si>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</si>
  <si>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</si>
  <si>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</si>
  <si>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</si>
  <si>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</si>
  <si>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</si>
  <si>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</si>
  <si>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</si>
  <si>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</si>
  <si>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</si>
  <si>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</si>
  <si>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</si>
  <si>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</si>
  <si>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</si>
  <si>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</si>
  <si>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</si>
  <si>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</si>
  <si>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</si>
  <si>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</si>
  <si>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</si>
  <si>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</si>
  <si>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</si>
  <si>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</si>
  <si>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</si>
  <si>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</si>
  <si>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</si>
  <si>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</si>
  <si>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</si>
  <si>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</si>
  <si>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</si>
  <si>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</si>
  <si>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</si>
  <si>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</si>
  <si>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</si>
  <si>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</si>
  <si>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</si>
  <si>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</si>
  <si>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</si>
  <si>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</si>
  <si>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</si>
  <si>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</si>
  <si>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</si>
  <si>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</si>
  <si>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</si>
  <si>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</si>
  <si>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</si>
  <si>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</si>
  <si>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</si>
  <si>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</si>
  <si>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</si>
  <si>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</si>
  <si>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</si>
  <si>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</si>
  <si>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</si>
  <si>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</si>
  <si>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</si>
  <si>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</si>
  <si>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</si>
  <si>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</si>
  <si>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</si>
  <si>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</si>
  <si>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</si>
  <si>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</si>
  <si>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</si>
  <si>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</si>
  <si>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</si>
  <si>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</si>
  <si>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</si>
  <si>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</si>
  <si>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</si>
  <si>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</si>
  <si>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</si>
  <si>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</si>
  <si>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</si>
  <si>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</si>
  <si>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</si>
  <si>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</si>
  <si>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</si>
  <si>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</si>
  <si>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</si>
  <si>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</si>
  <si>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</si>
  <si>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</si>
  <si>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</si>
  <si>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</si>
  <si>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</si>
  <si>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</si>
  <si>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</si>
  <si>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</si>
  <si>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</si>
  <si>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</si>
  <si>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</si>
  <si>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</si>
  <si>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</si>
  <si>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</si>
  <si>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</si>
  <si>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</si>
  <si>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</si>
  <si>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</si>
  <si>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</si>
  <si>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</si>
  <si>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</si>
  <si>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</si>
  <si>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</si>
  <si>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</si>
  <si>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</si>
  <si>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</si>
  <si>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</si>
  <si>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</si>
  <si>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</si>
  <si>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</si>
  <si>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</si>
  <si>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</si>
  <si>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</si>
  <si>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</si>
  <si>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</si>
  <si>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</si>
  <si>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</si>
  <si>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</si>
  <si>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</si>
  <si>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</si>
  <si>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</si>
  <si>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</si>
  <si>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</si>
  <si>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</si>
  <si>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</si>
  <si>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</si>
  <si>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</si>
  <si>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</si>
  <si>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</si>
  <si>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</si>
  <si>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</si>
  <si>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</si>
  <si>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</si>
  <si>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</si>
  <si>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</si>
  <si>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</si>
  <si>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</si>
  <si>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</si>
  <si>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</si>
  <si>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</si>
  <si>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</si>
  <si>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</si>
  <si>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</si>
  <si>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</si>
  <si>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</si>
  <si>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</si>
  <si>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</si>
  <si>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</si>
  <si>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</si>
  <si>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</si>
  <si>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</si>
  <si>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</si>
  <si>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</si>
  <si>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</si>
  <si>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</si>
  <si>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</si>
  <si>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</si>
  <si>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</si>
  <si>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</si>
  <si>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</si>
  <si>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</si>
  <si>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</si>
  <si>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</si>
  <si>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</si>
  <si>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</si>
  <si>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</si>
  <si>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</si>
  <si>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</si>
  <si>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</si>
  <si>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</si>
  <si>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</si>
  <si>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</si>
  <si>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</si>
  <si>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</si>
  <si>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</si>
  <si>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</si>
  <si>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</si>
  <si>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</si>
  <si>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</si>
  <si>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</si>
  <si>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</si>
  <si>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</si>
  <si>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</si>
  <si>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</si>
  <si>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</si>
  <si>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</si>
  <si>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</si>
  <si>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</si>
  <si>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</si>
  <si>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</si>
  <si>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</si>
  <si>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</si>
  <si>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</si>
  <si>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</si>
  <si>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</si>
  <si>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</si>
  <si>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</si>
  <si>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</si>
  <si>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</si>
  <si>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</si>
  <si>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</si>
  <si>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</si>
  <si>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</si>
  <si>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</si>
  <si>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</si>
  <si>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</si>
  <si>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</si>
  <si>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</si>
  <si>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</si>
  <si>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</si>
  <si>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</si>
  <si>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</si>
  <si>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</si>
  <si>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</si>
  <si>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</si>
  <si>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</si>
  <si>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</si>
  <si>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</si>
  <si>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</si>
  <si>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</si>
  <si>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</si>
  <si>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</si>
  <si>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</si>
  <si>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</si>
  <si>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</si>
  <si>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</si>
  <si>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</si>
  <si>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</si>
  <si>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</si>
  <si>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</si>
  <si>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</si>
  <si>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</si>
  <si>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</si>
  <si>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</si>
  <si>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</si>
  <si>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</si>
  <si>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</si>
  <si>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</si>
  <si>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</si>
  <si>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</si>
  <si>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</si>
  <si>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</si>
  <si>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</si>
  <si>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</si>
  <si>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</si>
  <si>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</si>
  <si>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</si>
  <si>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</si>
  <si>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</si>
  <si>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</si>
  <si>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</si>
  <si>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</si>
  <si>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</si>
  <si>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</si>
  <si>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</si>
  <si>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</si>
  <si>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</si>
  <si>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</si>
  <si>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</si>
  <si>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</si>
  <si>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</si>
  <si>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</si>
  <si>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</si>
  <si>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</si>
  <si>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</si>
  <si>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</si>
  <si>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</si>
  <si>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</si>
  <si>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</si>
  <si>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</si>
  <si>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</si>
  <si>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</si>
  <si>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</si>
  <si>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</si>
  <si>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</si>
  <si>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</si>
  <si>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</si>
  <si>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</si>
  <si>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</si>
  <si>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</si>
  <si>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</si>
  <si>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</si>
  <si>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</si>
  <si>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</si>
  <si>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</si>
  <si>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</si>
  <si>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</si>
  <si>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</si>
  <si>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</si>
  <si>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</si>
  <si>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</si>
  <si>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</si>
  <si>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</si>
  <si>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</si>
  <si>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</si>
  <si>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</si>
  <si>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</si>
  <si>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</si>
  <si>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</si>
  <si>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</si>
  <si>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</si>
  <si>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</si>
  <si>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</si>
  <si>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</si>
  <si>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</si>
  <si>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</si>
  <si>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</si>
  <si>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</si>
  <si>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</si>
  <si>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</si>
  <si>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</si>
  <si>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</si>
  <si>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</si>
  <si>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</si>
  <si>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</si>
  <si>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</si>
  <si>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</si>
  <si>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</si>
  <si>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</si>
  <si>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</si>
  <si>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</si>
  <si>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</si>
  <si>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</si>
  <si>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</si>
  <si>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</si>
  <si>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</si>
  <si>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</si>
  <si>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</si>
  <si>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</si>
  <si>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</si>
  <si>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</si>
  <si>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</si>
  <si>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</si>
  <si>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</si>
  <si>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</si>
  <si>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</si>
  <si>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</si>
  <si>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</si>
  <si>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</si>
  <si>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</si>
  <si>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</si>
  <si>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</si>
  <si>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</si>
  <si>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</si>
  <si>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</si>
  <si>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</si>
  <si>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</si>
  <si>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</si>
  <si>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</si>
  <si>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</si>
  <si>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</si>
  <si>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</si>
  <si>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</si>
  <si>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</si>
  <si>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</si>
  <si>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</si>
  <si>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</si>
  <si>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</si>
  <si>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</si>
  <si>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</si>
  <si>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</si>
  <si>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</si>
  <si>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</si>
  <si>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</si>
  <si>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</si>
  <si>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</si>
  <si>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</si>
  <si>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</si>
  <si>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</si>
  <si>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</si>
  <si>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</si>
  <si>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</si>
  <si>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</si>
  <si>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</si>
  <si>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</si>
  <si>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</si>
  <si>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</si>
  <si>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</si>
  <si>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</si>
  <si>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</si>
  <si>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</si>
  <si>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</si>
  <si>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</si>
  <si>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</si>
  <si>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</si>
  <si>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</si>
  <si>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</si>
  <si>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</si>
  <si>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</si>
  <si>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</si>
  <si>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</si>
  <si>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</si>
  <si>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</si>
  <si>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</si>
  <si>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</si>
  <si>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</si>
  <si>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</si>
  <si>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</si>
  <si>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</si>
  <si>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</si>
  <si>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</si>
  <si>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</si>
  <si>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</si>
  <si>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</si>
  <si>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</si>
  <si>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</si>
  <si>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</si>
  <si>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</si>
  <si>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</si>
  <si>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</si>
  <si>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</si>
  <si>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</si>
  <si>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</si>
  <si>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</si>
  <si>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</si>
  <si>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</si>
  <si>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</si>
  <si>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</si>
  <si>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</si>
  <si>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</si>
  <si>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</si>
  <si>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</si>
  <si>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</si>
  <si>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</si>
  <si>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</si>
  <si>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</si>
  <si>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</si>
  <si>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</si>
  <si>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</si>
  <si>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</si>
  <si>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</si>
  <si>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</si>
  <si>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</si>
  <si>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</si>
  <si>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</si>
  <si>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</si>
  <si>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</si>
  <si>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</si>
  <si>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</si>
  <si>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</si>
  <si>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</si>
  <si>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</si>
  <si>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</si>
  <si>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</si>
  <si>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</si>
  <si>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</si>
  <si>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</si>
  <si>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</si>
  <si>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</si>
  <si>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</si>
  <si>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</si>
  <si>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</si>
  <si>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</si>
  <si>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</si>
  <si>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</si>
  <si>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</si>
  <si>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</si>
  <si>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</si>
  <si>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</si>
  <si>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</si>
  <si>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</si>
  <si>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</si>
  <si>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</si>
  <si>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</si>
  <si>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</si>
  <si>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</si>
  <si>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</si>
  <si>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</si>
  <si>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</si>
  <si>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</si>
  <si>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</si>
  <si>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</si>
  <si>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</si>
  <si>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</si>
  <si>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</si>
  <si>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</si>
  <si>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</si>
  <si>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</si>
  <si>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</si>
  <si>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</si>
  <si>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</si>
  <si>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</si>
  <si>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</si>
  <si>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</si>
  <si>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</si>
  <si>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</si>
  <si>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</si>
  <si>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</si>
  <si>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</si>
  <si>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</si>
  <si>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</si>
  <si>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</si>
  <si>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</si>
  <si>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</si>
  <si>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</si>
  <si>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</si>
  <si>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</si>
  <si>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</si>
  <si>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</si>
  <si>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</si>
  <si>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</si>
  <si>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</si>
  <si>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</si>
  <si>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</si>
  <si>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</si>
  <si>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</si>
  <si>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</si>
  <si>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</si>
  <si>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</si>
  <si>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</si>
  <si>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</si>
  <si>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</si>
  <si>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</si>
  <si>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</si>
  <si>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</si>
  <si>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</si>
  <si>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</si>
  <si>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</si>
  <si>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</si>
  <si>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</si>
  <si>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</si>
  <si>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</si>
  <si>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</si>
  <si>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</si>
  <si>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</si>
  <si>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</si>
  <si>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</si>
  <si>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</si>
  <si>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</si>
  <si>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</si>
  <si>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</si>
  <si>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</si>
  <si>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</si>
  <si>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</si>
  <si>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</si>
  <si>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</si>
  <si>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</si>
  <si>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</si>
  <si>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</si>
  <si>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</si>
  <si>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</si>
  <si>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</si>
  <si>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</si>
  <si>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</si>
  <si>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</si>
  <si>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</si>
  <si>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</si>
  <si>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</si>
  <si>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</si>
  <si>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</si>
  <si>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</si>
  <si>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</si>
  <si>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</si>
  <si>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</si>
  <si>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</si>
  <si>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</si>
  <si>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</si>
  <si>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</si>
  <si>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</si>
  <si>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</si>
  <si>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</si>
  <si>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</si>
  <si>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</si>
  <si>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</si>
  <si>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</si>
  <si>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</si>
  <si>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</si>
  <si>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</si>
  <si>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</si>
  <si>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</si>
  <si>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</si>
  <si>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</si>
  <si>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</si>
  <si>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</si>
  <si>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</si>
  <si>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</si>
  <si>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</si>
  <si>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</si>
  <si>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</si>
  <si>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</si>
  <si>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</si>
  <si>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</si>
  <si>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</si>
  <si>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</si>
  <si>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</si>
  <si>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</si>
  <si>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</si>
  <si>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</si>
  <si>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</si>
  <si>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</si>
  <si>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</si>
  <si>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</si>
  <si>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</si>
  <si>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</si>
  <si>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</si>
  <si>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</si>
  <si>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</si>
  <si>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</si>
  <si>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</si>
  <si>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</si>
  <si>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</si>
  <si>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</si>
  <si>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</si>
  <si>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</si>
  <si>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</si>
  <si>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</si>
  <si>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</si>
  <si>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</si>
  <si>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</si>
  <si>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</si>
  <si>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</si>
  <si>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</si>
  <si>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</si>
  <si>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</si>
  <si>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</si>
  <si>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</si>
  <si>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</si>
  <si>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</si>
  <si>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</si>
  <si>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</si>
  <si>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</si>
  <si>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</si>
  <si>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</si>
  <si>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</si>
  <si>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</si>
  <si>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</si>
  <si>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</si>
  <si>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</si>
  <si>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</si>
  <si>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</si>
  <si>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</si>
  <si>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</si>
  <si>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</si>
  <si>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</si>
  <si>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</si>
  <si>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</si>
  <si>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</si>
  <si>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</si>
  <si>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</si>
  <si>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</si>
  <si>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</si>
  <si>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</si>
  <si>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</si>
  <si>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</si>
  <si>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</si>
  <si>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</si>
  <si>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</si>
  <si>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</si>
  <si>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</si>
  <si>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</si>
  <si>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</si>
  <si>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</si>
  <si>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</si>
  <si>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</si>
  <si>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</si>
  <si>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</si>
  <si>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</si>
  <si>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</si>
  <si>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</si>
  <si>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</si>
  <si>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</si>
  <si>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</si>
  <si>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</si>
  <si>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</si>
  <si>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</si>
  <si>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</si>
  <si>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</si>
  <si>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</si>
  <si>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</si>
  <si>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</si>
  <si>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</si>
  <si>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</si>
  <si>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</si>
  <si>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</si>
  <si>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</si>
  <si>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</si>
  <si>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</si>
  <si>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</si>
  <si>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</si>
  <si>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</si>
  <si>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</si>
  <si>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</si>
  <si>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</si>
  <si>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</si>
  <si>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</si>
  <si>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</si>
  <si>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</si>
  <si>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</si>
  <si>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</si>
  <si>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</si>
  <si>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</si>
  <si>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</si>
  <si>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</si>
  <si>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</si>
  <si>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</si>
  <si>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</si>
  <si>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</si>
  <si>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</si>
  <si>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</si>
  <si>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</si>
  <si>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</si>
  <si>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</si>
  <si>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</si>
  <si>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</si>
  <si>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</si>
  <si>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</si>
  <si>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</si>
  <si>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</si>
  <si>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</si>
  <si>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</si>
  <si>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</si>
  <si>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</si>
  <si>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</si>
  <si>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</si>
  <si>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</si>
  <si>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</si>
  <si>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</si>
  <si>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</si>
  <si>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</si>
  <si>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</si>
  <si>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</si>
  <si>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</si>
  <si>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</si>
  <si>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</si>
  <si>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</si>
  <si>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</si>
  <si>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</si>
  <si>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</si>
  <si>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</si>
  <si>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</si>
  <si>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</si>
  <si>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</si>
  <si>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</si>
  <si>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</si>
  <si>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</si>
  <si>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</si>
  <si>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</si>
  <si>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</si>
  <si>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</si>
  <si>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</si>
  <si>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</si>
  <si>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</si>
  <si>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</si>
  <si>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</si>
  <si>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</si>
  <si>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</si>
  <si>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</si>
  <si>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</si>
  <si>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</si>
  <si>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</si>
  <si>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</si>
  <si>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</si>
  <si>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</si>
  <si>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</si>
  <si>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</si>
  <si>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</si>
  <si>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</si>
  <si>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</si>
  <si>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</si>
  <si>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</si>
  <si>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</si>
  <si>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</si>
  <si>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</si>
  <si>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</si>
  <si>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</si>
  <si>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</si>
  <si>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</si>
  <si>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</si>
  <si>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</si>
  <si>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</si>
  <si>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</si>
  <si>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</si>
  <si>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</si>
  <si>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</si>
  <si>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</si>
  <si>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</si>
  <si>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</si>
  <si>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</si>
  <si>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</si>
  <si>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</si>
  <si>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</si>
  <si>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</si>
  <si>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</si>
  <si>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</si>
  <si>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</si>
  <si>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</si>
  <si>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</si>
  <si>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</si>
  <si>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</si>
  <si>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</si>
  <si>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</si>
  <si>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</si>
  <si>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</si>
  <si>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</si>
  <si>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</si>
  <si>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</si>
  <si>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</si>
  <si>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</si>
  <si>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</si>
  <si>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</si>
  <si>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</si>
  <si>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</si>
  <si>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</si>
  <si>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</si>
  <si>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</si>
  <si>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</si>
  <si>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</si>
  <si>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</si>
  <si>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</si>
  <si>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</si>
  <si>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</si>
  <si>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</si>
  <si>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</si>
  <si>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</si>
  <si>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</si>
  <si>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</si>
  <si>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</si>
  <si>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</si>
  <si>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</si>
  <si>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</si>
  <si>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</si>
  <si>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</si>
  <si>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</si>
  <si>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</si>
  <si>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</si>
  <si>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</si>
  <si>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</si>
  <si>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</si>
  <si>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</si>
  <si>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</si>
  <si>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</si>
  <si>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</si>
  <si>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</si>
  <si>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</si>
  <si>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</si>
  <si>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</si>
  <si>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</si>
  <si>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</si>
  <si>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</si>
  <si>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</si>
  <si>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</si>
  <si>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</si>
  <si>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</si>
  <si>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</si>
  <si>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</si>
  <si>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</si>
  <si>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</si>
  <si>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</si>
  <si>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</si>
  <si>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</si>
  <si>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</si>
  <si>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</si>
  <si>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</si>
  <si>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</si>
  <si>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</si>
  <si>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</si>
  <si>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</si>
  <si>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</si>
  <si>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</si>
  <si>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</si>
  <si>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</si>
  <si>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</si>
  <si>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</si>
  <si>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</si>
  <si>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</si>
  <si>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</si>
  <si>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</si>
  <si>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</si>
  <si>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</si>
  <si>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</si>
  <si>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</si>
  <si>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</si>
  <si>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</si>
  <si>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</si>
  <si>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</si>
  <si>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</si>
  <si>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</si>
  <si>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</si>
  <si>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</si>
  <si>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</si>
  <si>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</si>
  <si>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</si>
  <si>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</si>
  <si>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</si>
  <si>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</si>
  <si>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</si>
  <si>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</si>
  <si>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</si>
  <si>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</si>
  <si>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</si>
  <si>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</si>
  <si>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</si>
  <si>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</si>
  <si>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</si>
  <si>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</si>
  <si>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</si>
  <si>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</si>
  <si>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</si>
  <si>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</si>
  <si>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</si>
  <si>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</si>
  <si>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</si>
  <si>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</si>
  <si>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</si>
  <si>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</si>
  <si>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</si>
  <si>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</si>
  <si>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</si>
  <si>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</si>
  <si>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</si>
  <si>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</si>
  <si>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</si>
  <si>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</si>
  <si>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</si>
  <si>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</si>
  <si>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</si>
  <si>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</si>
  <si>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</si>
  <si>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</si>
  <si>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</si>
  <si>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</si>
  <si>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</si>
  <si>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</si>
  <si>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</si>
  <si>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</si>
  <si>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</si>
  <si>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</si>
  <si>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</si>
  <si>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</si>
  <si>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</si>
  <si>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</si>
  <si>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</si>
  <si>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</si>
  <si>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</si>
  <si>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</si>
  <si>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</si>
  <si>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</si>
  <si>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</si>
  <si>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</si>
  <si>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</si>
  <si>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</si>
  <si>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</si>
  <si>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</si>
  <si>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</si>
  <si>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</si>
  <si>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</si>
  <si>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</si>
  <si>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</si>
  <si>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</si>
  <si>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</si>
  <si>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</si>
  <si>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</si>
  <si>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</si>
  <si>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</si>
  <si>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</si>
  <si>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</si>
  <si>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</si>
  <si>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</si>
  <si>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</si>
  <si>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</si>
  <si>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</si>
  <si>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</si>
  <si>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</si>
  <si>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</si>
  <si>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</si>
  <si>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</si>
  <si>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</si>
  <si>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</si>
  <si>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</si>
  <si>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</si>
  <si>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</si>
  <si>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</si>
  <si>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</si>
  <si>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</si>
  <si>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</si>
  <si>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</si>
  <si>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</si>
  <si>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</si>
  <si>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</si>
  <si>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</si>
  <si>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</si>
  <si>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</si>
  <si>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</si>
  <si>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</si>
  <si>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</si>
  <si>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</si>
  <si>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</si>
  <si>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</si>
  <si>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</si>
  <si>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</si>
  <si>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</si>
  <si>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</si>
  <si>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</si>
  <si>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</si>
  <si>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</si>
  <si>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</si>
  <si>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</si>
  <si>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</si>
  <si>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</si>
  <si>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</si>
  <si>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</si>
  <si>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</si>
  <si>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</si>
  <si>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</si>
  <si>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</si>
  <si>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</si>
  <si>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</si>
  <si>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</si>
  <si>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</si>
  <si>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</si>
  <si>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</si>
  <si>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</si>
  <si>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</si>
  <si>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</si>
  <si>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</si>
  <si>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</si>
  <si>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</si>
  <si>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</si>
  <si>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</si>
  <si>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</si>
  <si>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</si>
  <si>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</si>
  <si>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</si>
  <si>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</si>
  <si>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</si>
  <si>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</si>
  <si>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</si>
  <si>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</si>
  <si>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</si>
  <si>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</si>
  <si>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</si>
  <si>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</si>
  <si>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</si>
  <si>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</si>
  <si>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</si>
  <si>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</si>
  <si>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</si>
  <si>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</si>
  <si>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</si>
  <si>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</si>
  <si>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</si>
  <si>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</si>
  <si>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</si>
  <si>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</si>
  <si>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</si>
  <si>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</si>
  <si>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</si>
  <si>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</si>
  <si>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</si>
  <si>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</si>
  <si>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</si>
  <si>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</si>
  <si>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</si>
  <si>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</si>
  <si>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</si>
  <si>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</si>
  <si>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</si>
  <si>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</si>
  <si>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</si>
  <si>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</si>
  <si>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</si>
  <si>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</si>
  <si>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</si>
  <si>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</si>
  <si>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</si>
  <si>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</si>
  <si>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</si>
  <si>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</si>
  <si>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</si>
  <si>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</si>
  <si>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</si>
  <si>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</si>
  <si>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</si>
  <si>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</si>
  <si>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</si>
  <si>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</si>
  <si>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</si>
  <si>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</si>
  <si>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</si>
  <si>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</si>
  <si>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</si>
  <si>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</si>
  <si>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</si>
  <si>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</si>
  <si>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</si>
  <si>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</si>
  <si>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</si>
  <si>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</si>
  <si>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</si>
  <si>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</si>
  <si>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</si>
  <si>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</si>
  <si>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</si>
  <si>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</si>
  <si>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</si>
  <si>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</si>
  <si>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</si>
  <si>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</si>
  <si>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</si>
  <si>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</si>
  <si>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</si>
  <si>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</si>
  <si>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</si>
  <si>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</si>
  <si>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</si>
  <si>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</si>
  <si>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</si>
  <si>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</si>
  <si>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</si>
  <si>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</si>
  <si>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</si>
  <si>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</si>
  <si>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</si>
  <si>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</si>
  <si>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</si>
  <si>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</si>
  <si>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</si>
  <si>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</si>
  <si>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</si>
  <si>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</si>
  <si>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</si>
  <si>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</si>
  <si>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</si>
  <si>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</si>
  <si>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</si>
  <si>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</si>
  <si>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</si>
  <si>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</si>
  <si>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</si>
  <si>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</si>
  <si>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</si>
  <si>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</si>
  <si>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</si>
  <si>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</si>
  <si>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</si>
  <si>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</si>
  <si>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</si>
  <si>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</si>
  <si>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</si>
  <si>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</si>
  <si>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</si>
  <si>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</si>
  <si>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</si>
  <si>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</si>
  <si>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</si>
  <si>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</si>
  <si>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</si>
  <si>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</si>
  <si>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</si>
  <si>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</si>
  <si>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</si>
  <si>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</si>
  <si>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</si>
  <si>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</si>
  <si>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</si>
  <si>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</si>
  <si>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</si>
  <si>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</si>
  <si>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</si>
  <si>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</si>
  <si>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</si>
  <si>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</si>
  <si>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</si>
  <si>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</si>
  <si>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</si>
  <si>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</si>
  <si>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</si>
  <si>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</si>
  <si>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</si>
  <si>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</si>
  <si>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</si>
  <si>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</si>
  <si>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</si>
  <si>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</si>
  <si>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</si>
  <si>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</si>
  <si>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</si>
  <si>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</si>
  <si>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</si>
  <si>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</si>
  <si>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</si>
  <si>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</si>
  <si>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</si>
  <si>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</si>
  <si>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</si>
  <si>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</si>
  <si>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</si>
  <si>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</si>
  <si>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</si>
  <si>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</si>
  <si>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</si>
  <si>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</si>
  <si>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</si>
  <si>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</si>
  <si>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</si>
  <si>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</si>
  <si>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</si>
  <si>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</si>
  <si>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</si>
  <si>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</si>
  <si>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</si>
  <si>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</si>
  <si>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</si>
  <si>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</si>
  <si>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</si>
  <si>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</si>
  <si>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</si>
  <si>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</si>
  <si>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</si>
  <si>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</si>
  <si>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</si>
  <si>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</si>
  <si>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</si>
  <si>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</si>
  <si>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</si>
  <si>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</si>
  <si>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</si>
  <si>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</si>
  <si>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</si>
  <si>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</si>
  <si>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</si>
  <si>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</si>
  <si>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</si>
  <si>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</si>
  <si>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</si>
  <si>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</si>
  <si>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</si>
  <si>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</si>
  <si>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</si>
  <si>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</si>
  <si>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</si>
  <si>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</si>
  <si>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</si>
  <si>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</si>
  <si>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</si>
  <si>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</si>
  <si>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</si>
  <si>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</si>
  <si>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</si>
  <si>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</si>
  <si>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</si>
  <si>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</si>
  <si>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</si>
  <si>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</si>
  <si>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</si>
  <si>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</si>
  <si>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</si>
  <si>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</si>
  <si>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</si>
  <si>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</si>
  <si>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</si>
  <si>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</si>
  <si>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</si>
  <si>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</si>
  <si>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</si>
  <si>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</si>
  <si>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</si>
  <si>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</si>
  <si>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</si>
  <si>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</si>
  <si>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</si>
  <si>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</si>
  <si>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</si>
  <si>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</si>
  <si>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</si>
  <si>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</si>
  <si>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</si>
  <si>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</si>
  <si>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</si>
  <si>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</si>
  <si>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</si>
  <si>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</si>
  <si>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</si>
  <si>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</si>
  <si>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</si>
  <si>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</si>
  <si>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</si>
  <si>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</si>
  <si>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</si>
  <si>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</si>
  <si>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</si>
  <si>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</si>
  <si>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</si>
  <si>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</si>
  <si>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</si>
  <si>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</si>
  <si>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</si>
  <si>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</si>
  <si>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</si>
  <si>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</si>
  <si>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</si>
  <si>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</si>
  <si>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</si>
  <si>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</si>
  <si>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</si>
  <si>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</si>
  <si>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</si>
  <si>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</si>
  <si>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</si>
  <si>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</si>
  <si>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</si>
  <si>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</si>
  <si>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</si>
  <si>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</si>
  <si>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</si>
  <si>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</si>
  <si>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</si>
  <si>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</si>
  <si>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</si>
  <si>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</si>
  <si>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</si>
  <si>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</si>
  <si>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</si>
  <si>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</si>
  <si>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</si>
  <si>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</si>
  <si>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</si>
  <si>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</si>
  <si>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</si>
  <si>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</si>
  <si>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</si>
  <si>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</si>
  <si>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</si>
  <si>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</si>
  <si>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</si>
  <si>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</si>
  <si>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</si>
  <si>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</si>
  <si>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</si>
  <si>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</si>
  <si>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</si>
  <si>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</si>
  <si>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</si>
  <si>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</si>
  <si>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</si>
  <si>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</si>
  <si>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</si>
  <si>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</si>
  <si>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</si>
  <si>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</si>
  <si>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</si>
  <si>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</si>
  <si>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</si>
  <si>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</si>
  <si>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</si>
  <si>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</si>
  <si>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</si>
  <si>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</si>
  <si>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</si>
  <si>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</si>
  <si>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</si>
  <si>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</si>
  <si>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</si>
  <si>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</si>
  <si>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</si>
  <si>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</si>
  <si>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</si>
  <si>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</si>
  <si>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</si>
  <si>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</si>
  <si>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</si>
  <si>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</si>
  <si>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</si>
  <si>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</si>
  <si>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</si>
  <si>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</si>
  <si>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</si>
  <si>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</si>
  <si>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</si>
  <si>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</si>
  <si>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</si>
  <si>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</si>
  <si>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</si>
  <si>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</si>
  <si>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</si>
  <si>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</si>
  <si>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</si>
  <si>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</si>
  <si>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</si>
  <si>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</si>
  <si>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</si>
  <si>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</si>
  <si>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</si>
  <si>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</si>
  <si>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</si>
  <si>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</si>
  <si>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</si>
  <si>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</si>
  <si>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</si>
  <si>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</si>
  <si>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</si>
  <si>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</si>
  <si>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</si>
  <si>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</si>
  <si>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</si>
  <si>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</si>
  <si>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</si>
  <si>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</si>
  <si>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</si>
  <si>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</si>
  <si>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</si>
  <si>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</si>
  <si>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</si>
  <si>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</si>
  <si>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</si>
  <si>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</si>
  <si>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</si>
  <si>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</si>
  <si>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</si>
  <si>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</si>
  <si>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</si>
  <si>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</si>
  <si>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</si>
  <si>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</si>
  <si>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</si>
  <si>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</si>
  <si>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</si>
  <si>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</si>
  <si>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</si>
  <si>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</si>
  <si>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</si>
  <si>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</si>
  <si>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</si>
  <si>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</si>
  <si>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</si>
  <si>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</si>
  <si>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</si>
  <si>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</si>
  <si>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</si>
  <si>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</si>
  <si>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</si>
  <si>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</si>
  <si>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</si>
  <si>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</si>
  <si>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</si>
  <si>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</si>
  <si>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</si>
  <si>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</si>
  <si>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</si>
  <si>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</si>
  <si>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</si>
  <si>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</si>
  <si>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</si>
  <si>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</si>
  <si>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</si>
  <si>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</si>
  <si>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</si>
  <si>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</si>
  <si>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</si>
  <si>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</si>
  <si>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</si>
  <si>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</si>
  <si>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</si>
  <si>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</si>
  <si>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</si>
  <si>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</si>
  <si>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</si>
  <si>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</si>
  <si>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</si>
  <si>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</si>
  <si>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</si>
  <si>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</si>
  <si>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</si>
  <si>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</si>
  <si>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</si>
  <si>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</si>
  <si>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</si>
  <si>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</si>
  <si>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</si>
  <si>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</si>
  <si>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</si>
  <si>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</si>
  <si>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</si>
  <si>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</si>
  <si>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</si>
  <si>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</si>
  <si>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</si>
  <si>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</si>
  <si>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</si>
  <si>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</si>
  <si>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</si>
  <si>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</si>
  <si>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</si>
  <si>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</si>
  <si>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</si>
  <si>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</si>
  <si>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</si>
  <si>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</si>
  <si>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</si>
  <si>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</si>
  <si>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</si>
  <si>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</si>
  <si>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</si>
  <si>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</si>
  <si>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</si>
  <si>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</si>
  <si>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</si>
  <si>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</si>
  <si>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</si>
  <si>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</si>
  <si>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</si>
  <si>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</si>
  <si>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</si>
  <si>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</si>
  <si>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</si>
  <si>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</si>
  <si>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</si>
  <si>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</si>
  <si>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</si>
  <si>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</si>
  <si>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</si>
  <si>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</si>
  <si>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</si>
  <si>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</si>
  <si>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</si>
  <si>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</si>
  <si>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</si>
  <si>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</si>
  <si>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</si>
  <si>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</si>
  <si>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</si>
  <si>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</si>
  <si>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</si>
  <si>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</si>
  <si>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</si>
  <si>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</si>
  <si>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</si>
  <si>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</si>
  <si>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</si>
  <si>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</si>
  <si>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</si>
  <si>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</si>
  <si>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</si>
  <si>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</si>
  <si>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</si>
  <si>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</si>
  <si>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</si>
  <si>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</si>
  <si>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</si>
  <si>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</si>
  <si>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</si>
  <si>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</si>
  <si>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</si>
  <si>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</si>
  <si>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</si>
  <si>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</si>
  <si>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</si>
  <si>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</si>
  <si>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</si>
  <si>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</si>
  <si>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</si>
  <si>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</si>
  <si>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</si>
  <si>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</si>
  <si>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</si>
  <si>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</si>
  <si>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</si>
  <si>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</si>
  <si>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</si>
  <si>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</si>
  <si>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</si>
  <si>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</si>
  <si>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</si>
  <si>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</si>
  <si>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</si>
  <si>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</si>
  <si>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</si>
  <si>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</si>
  <si>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</si>
  <si>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</si>
  <si>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</si>
  <si>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</si>
  <si>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</si>
  <si>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</si>
  <si>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</si>
  <si>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</si>
  <si>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</si>
  <si>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</si>
  <si>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</si>
  <si>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</si>
  <si>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</si>
  <si>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</si>
  <si>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</si>
  <si>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</si>
  <si>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</si>
  <si>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</si>
  <si>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</si>
  <si>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</si>
  <si>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</si>
  <si>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</si>
  <si>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</si>
  <si>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</si>
  <si>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</si>
  <si>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</si>
  <si>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</si>
  <si>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</si>
  <si>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</si>
  <si>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</si>
  <si>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</si>
  <si>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</si>
  <si>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</si>
  <si>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</si>
  <si>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</si>
  <si>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</si>
  <si>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</si>
  <si>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</si>
  <si>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</si>
  <si>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</si>
  <si>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</si>
  <si>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</si>
  <si>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</si>
  <si>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</si>
  <si>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</si>
  <si>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</si>
  <si>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</si>
  <si>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</si>
  <si>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</si>
  <si>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</si>
  <si>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</si>
  <si>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</si>
  <si>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</si>
  <si>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</si>
  <si>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</si>
  <si>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</si>
  <si>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</si>
  <si>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</si>
  <si>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</si>
  <si>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</si>
  <si>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</si>
  <si>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</si>
  <si>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</si>
  <si>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</si>
  <si>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</si>
  <si>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</si>
  <si>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</si>
  <si>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</si>
  <si>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</si>
  <si>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</si>
  <si>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</si>
  <si>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</si>
  <si>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</si>
  <si>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</si>
  <si>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</si>
  <si>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</si>
  <si>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</si>
  <si>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</si>
  <si>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</si>
  <si>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</si>
  <si>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</si>
  <si>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</si>
  <si>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</si>
  <si>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</si>
  <si>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</si>
  <si>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</si>
  <si>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</si>
  <si>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</si>
  <si>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</si>
  <si>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</si>
  <si>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</si>
  <si>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</si>
  <si>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</si>
  <si>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</si>
  <si>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</si>
  <si>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</si>
  <si>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</si>
  <si>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</si>
  <si>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</si>
  <si>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</si>
  <si>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</si>
  <si>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</si>
  <si>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</si>
  <si>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</si>
  <si>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</si>
  <si>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</si>
  <si>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</si>
  <si>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</si>
  <si>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</si>
  <si>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</si>
  <si>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</si>
  <si>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</si>
  <si>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</si>
  <si>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</si>
  <si>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</si>
  <si>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</si>
  <si>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</si>
  <si>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</si>
  <si>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</si>
  <si>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</si>
  <si>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</si>
  <si>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</si>
  <si>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</si>
  <si>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</si>
  <si>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</si>
  <si>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</si>
  <si>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</si>
  <si>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</si>
  <si>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</si>
  <si>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</si>
  <si>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</si>
  <si>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</si>
  <si>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</si>
  <si>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</si>
  <si>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</si>
  <si>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</si>
  <si>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</si>
  <si>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</si>
  <si>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</si>
  <si>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</si>
  <si>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</si>
  <si>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</si>
  <si>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</si>
  <si>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</si>
  <si>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</si>
  <si>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</si>
  <si>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</si>
  <si>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</si>
  <si>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</si>
  <si>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</si>
  <si>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</si>
  <si>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</si>
  <si>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</si>
  <si>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</si>
  <si>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</si>
  <si>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</si>
  <si>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</si>
  <si>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</si>
  <si>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</si>
  <si>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</si>
  <si>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</si>
  <si>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</si>
  <si>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</si>
  <si>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</si>
  <si>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</si>
  <si>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</si>
  <si>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</si>
  <si>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</si>
  <si>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</si>
  <si>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</si>
  <si>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</si>
  <si>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</si>
  <si>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</si>
  <si>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</si>
  <si>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</si>
  <si>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</si>
  <si>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</si>
  <si>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</si>
  <si>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</si>
  <si>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</si>
  <si>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</si>
  <si>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</si>
  <si>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</si>
  <si>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</si>
  <si>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</si>
  <si>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</si>
  <si>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</si>
  <si>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</si>
  <si>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</si>
  <si>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</si>
  <si>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</si>
  <si>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</si>
  <si>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</si>
  <si>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</si>
  <si>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</si>
  <si>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</si>
  <si>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</si>
  <si>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</si>
  <si>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</si>
  <si>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</si>
  <si>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</si>
  <si>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</si>
  <si>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</si>
  <si>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</si>
  <si>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</si>
  <si>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</si>
  <si>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</si>
  <si>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</si>
  <si>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</si>
  <si>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</si>
  <si>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</si>
  <si>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</si>
  <si>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</si>
  <si>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</si>
  <si>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</si>
  <si>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</si>
  <si>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</si>
  <si>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</si>
  <si>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</si>
  <si>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</si>
  <si>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</si>
  <si>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</si>
  <si>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</si>
  <si>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</si>
  <si>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</si>
  <si>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</si>
  <si>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</si>
  <si>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</si>
  <si>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</si>
  <si>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</si>
  <si>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</si>
  <si>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</si>
  <si>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</si>
  <si>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</si>
  <si>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</si>
  <si>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</si>
  <si>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</si>
  <si>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</si>
  <si>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</si>
  <si>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</si>
  <si>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</si>
  <si>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</si>
  <si>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</si>
  <si>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</si>
  <si>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</si>
  <si>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</si>
  <si>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</si>
  <si>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</si>
  <si>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</si>
  <si>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</si>
  <si>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</si>
  <si>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</si>
  <si>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</si>
  <si>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</si>
  <si>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</si>
  <si>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</si>
  <si>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</si>
  <si>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</si>
  <si>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</si>
  <si>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</si>
  <si>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</si>
  <si>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</si>
  <si>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</si>
  <si>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</si>
  <si>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</si>
  <si>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</si>
  <si>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</si>
  <si>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</si>
  <si>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</si>
  <si>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</si>
  <si>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</si>
  <si>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</si>
  <si>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</si>
  <si>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</si>
  <si>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</si>
  <si>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</si>
  <si>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</si>
  <si>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</si>
  <si>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</si>
  <si>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</si>
  <si>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</si>
  <si>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</si>
  <si>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</si>
  <si>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</si>
  <si>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</si>
  <si>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</si>
  <si>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</si>
  <si>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</si>
  <si>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</si>
  <si>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</si>
  <si>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</si>
  <si>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</si>
  <si>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</si>
  <si>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</si>
  <si>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</si>
  <si>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</si>
  <si>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</si>
  <si>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</si>
  <si>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</si>
  <si>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</si>
  <si>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</si>
  <si>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</si>
  <si>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</si>
  <si>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</si>
  <si>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</si>
  <si>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</si>
  <si>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</si>
  <si>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</si>
  <si>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</si>
  <si>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</si>
  <si>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</si>
  <si>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</si>
  <si>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</si>
  <si>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</si>
  <si>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</si>
  <si>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</si>
  <si>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</si>
  <si>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</si>
  <si>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</si>
  <si>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</si>
  <si>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</si>
  <si>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</si>
  <si>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</si>
  <si>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</si>
  <si>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</si>
  <si>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</si>
  <si>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</si>
  <si>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</si>
  <si>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</si>
  <si>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</si>
  <si>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</si>
  <si>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</si>
  <si>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</si>
  <si>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</si>
  <si>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</si>
  <si>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</si>
  <si>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</si>
  <si>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</si>
  <si>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</si>
  <si>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</si>
  <si>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</si>
  <si>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</si>
  <si>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</si>
  <si>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</si>
  <si>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</si>
  <si>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</si>
  <si>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</si>
  <si>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</si>
  <si>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</si>
  <si>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</si>
  <si>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</si>
  <si>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</si>
  <si>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</si>
  <si>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</si>
  <si>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</si>
  <si>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</si>
  <si>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</si>
  <si>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</si>
  <si>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</si>
  <si>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</si>
  <si>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</si>
  <si>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</si>
  <si>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</si>
  <si>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</si>
  <si>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</si>
  <si>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</si>
  <si>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</si>
  <si>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</si>
  <si>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</si>
  <si>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</si>
  <si>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</si>
  <si>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</si>
  <si>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</si>
  <si>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</si>
  <si>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</si>
  <si>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</si>
  <si>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</si>
  <si>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</si>
  <si>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</si>
  <si>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</si>
  <si>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</si>
  <si>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</si>
  <si>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</si>
  <si>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</si>
  <si>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</si>
  <si>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</si>
  <si>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</si>
  <si>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</si>
  <si>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</si>
  <si>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</si>
  <si>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</si>
  <si>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</si>
  <si>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</si>
  <si>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</si>
  <si>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</si>
  <si>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</si>
  <si>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</si>
  <si>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</si>
  <si>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</si>
  <si>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</si>
  <si>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</si>
  <si>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</si>
  <si>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</si>
  <si>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</si>
  <si>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</si>
  <si>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</si>
  <si>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</si>
  <si>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</si>
  <si>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</si>
  <si>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</si>
  <si>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</si>
  <si>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</si>
  <si>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</si>
  <si>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</si>
  <si>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</si>
  <si>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</si>
  <si>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</si>
  <si>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</si>
  <si>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</si>
  <si>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</si>
  <si>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</si>
  <si>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</si>
  <si>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</si>
  <si>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</si>
  <si>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</si>
  <si>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</si>
  <si>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</si>
  <si>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</si>
  <si>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</si>
  <si>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</si>
  <si>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</si>
  <si>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</si>
  <si>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</si>
  <si>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</si>
  <si>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</si>
  <si>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</si>
  <si>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</si>
  <si>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</si>
  <si>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</si>
  <si>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</si>
  <si>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</si>
  <si>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</si>
  <si>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</si>
  <si>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</si>
  <si>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</si>
  <si>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</si>
  <si>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</si>
  <si>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</si>
  <si>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</si>
  <si>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</si>
  <si>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</si>
  <si>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</si>
  <si>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</si>
  <si>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</si>
  <si>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</si>
  <si>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</si>
  <si>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</si>
  <si>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</si>
  <si>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</si>
  <si>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</si>
  <si>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</si>
  <si>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</si>
  <si>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</si>
  <si>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</si>
  <si>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</si>
  <si>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</si>
  <si>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</si>
  <si>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</si>
  <si>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</si>
  <si>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</si>
  <si>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</si>
  <si>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</si>
  <si>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</si>
  <si>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</si>
  <si>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</si>
  <si>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</si>
  <si>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</si>
  <si>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</si>
  <si>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</si>
  <si>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</si>
  <si>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</si>
  <si>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</si>
  <si>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</si>
  <si>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</si>
  <si>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</si>
  <si>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</si>
  <si>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</si>
  <si>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</si>
  <si>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</si>
  <si>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</si>
  <si>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</si>
  <si>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</si>
  <si>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</si>
  <si>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</si>
  <si>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</si>
  <si>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</si>
  <si>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</si>
  <si>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</si>
  <si>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</si>
  <si>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</si>
  <si>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</si>
  <si>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</si>
  <si>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</si>
  <si>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</si>
  <si>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</si>
  <si>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</si>
  <si>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</si>
  <si>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</si>
  <si>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</si>
  <si>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</si>
  <si>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</si>
  <si>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</si>
  <si>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</si>
  <si>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</si>
  <si>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</si>
  <si>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</si>
  <si>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</si>
  <si>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</si>
  <si>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</si>
  <si>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</si>
  <si>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</si>
  <si>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</si>
  <si>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</si>
  <si>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</si>
  <si>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</si>
  <si>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</si>
  <si>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</si>
  <si>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</si>
  <si>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</si>
  <si>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</si>
  <si>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</si>
  <si>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</si>
  <si>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</si>
  <si>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</si>
  <si>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</si>
  <si>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</si>
  <si>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</si>
  <si>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</si>
  <si>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</si>
  <si>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</si>
  <si>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</si>
  <si>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</si>
  <si>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</si>
  <si>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</si>
  <si>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</si>
  <si>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</si>
  <si>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</si>
  <si>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</si>
  <si>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</si>
  <si>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</si>
  <si>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</si>
  <si>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</si>
  <si>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</si>
  <si>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</si>
  <si>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</si>
  <si>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</si>
  <si>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</si>
  <si>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</si>
  <si>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</si>
  <si>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</si>
  <si>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</si>
  <si>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</si>
  <si>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</si>
  <si>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</si>
  <si>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</si>
  <si>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</si>
  <si>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</si>
  <si>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</si>
  <si>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</si>
  <si>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</si>
  <si>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</si>
  <si>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</si>
  <si>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</si>
  <si>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</si>
  <si>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</si>
  <si>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</si>
  <si>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</si>
  <si>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</si>
  <si>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</si>
  <si>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</si>
  <si>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</si>
  <si>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</si>
  <si>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</si>
  <si>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</si>
  <si>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</si>
  <si>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</si>
  <si>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</si>
  <si>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</si>
  <si>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</si>
  <si>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</si>
  <si>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</si>
  <si>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</si>
  <si>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</si>
  <si>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</si>
  <si>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</si>
  <si>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</si>
  <si>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</si>
  <si>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</si>
  <si>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</si>
  <si>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</si>
  <si>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</si>
  <si>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</si>
  <si>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</si>
  <si>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</si>
  <si>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</si>
  <si>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</si>
  <si>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</si>
  <si>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</si>
  <si>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</si>
  <si>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</si>
  <si>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</si>
  <si>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</si>
  <si>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</si>
  <si>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</si>
  <si>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</si>
  <si>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</si>
  <si>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</si>
  <si>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</si>
  <si>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</si>
  <si>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</si>
  <si>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</si>
  <si>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</si>
  <si>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</si>
  <si>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</si>
  <si>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</si>
  <si>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</si>
  <si>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</si>
  <si>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</si>
  <si>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</si>
  <si>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</si>
  <si>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</si>
  <si>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</si>
  <si>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</si>
  <si>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</si>
  <si>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</si>
  <si>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</si>
  <si>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</si>
  <si>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</si>
  <si>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</si>
  <si>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</si>
  <si>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</si>
  <si>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</si>
  <si>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</si>
  <si>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</si>
  <si>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</si>
  <si>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</si>
  <si>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</si>
  <si>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</si>
  <si>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</si>
  <si>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</si>
  <si>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</si>
  <si>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</si>
  <si>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</si>
  <si>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</si>
  <si>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</si>
  <si>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</si>
  <si>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</si>
  <si>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</si>
  <si>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</si>
  <si>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</si>
  <si>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</si>
  <si>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</si>
  <si>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</si>
  <si>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</si>
  <si>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</si>
  <si>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</si>
  <si>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</si>
  <si>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</si>
  <si>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</si>
  <si>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</si>
  <si>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</si>
  <si>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</si>
  <si>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</si>
  <si>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</si>
  <si>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</si>
  <si>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</si>
  <si>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</si>
  <si>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</si>
  <si>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</si>
  <si>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</si>
  <si>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</si>
  <si>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</si>
  <si>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</si>
  <si>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</si>
  <si>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</si>
  <si>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</si>
  <si>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</si>
  <si>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</si>
  <si>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</si>
  <si>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</si>
  <si>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</si>
  <si>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</si>
  <si>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</si>
  <si>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</si>
  <si>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</si>
  <si>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</si>
  <si>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</si>
  <si>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</si>
  <si>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</si>
  <si>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</si>
  <si>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</si>
  <si>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</si>
  <si>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</si>
  <si>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</si>
  <si>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</si>
  <si>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</si>
  <si>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</si>
  <si>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</si>
  <si>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</si>
  <si>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</si>
  <si>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</si>
  <si>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</si>
  <si>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</si>
  <si>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</si>
  <si>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</si>
  <si>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</si>
  <si>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</si>
  <si>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</si>
  <si>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</si>
  <si>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</si>
  <si>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</si>
  <si>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</si>
  <si>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</si>
  <si>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</si>
  <si>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</si>
  <si>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</si>
  <si>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</si>
  <si>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</si>
  <si>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</si>
  <si>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</si>
  <si>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</si>
  <si>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</si>
  <si>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</si>
  <si>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</si>
  <si>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</si>
  <si>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</si>
  <si>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</si>
  <si>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</si>
  <si>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</si>
  <si>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</si>
  <si>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</si>
  <si>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</si>
  <si>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</si>
  <si>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</si>
  <si>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</si>
  <si>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</si>
  <si>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</si>
  <si>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</si>
  <si>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</si>
  <si>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</si>
  <si>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</si>
  <si>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</si>
  <si>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</si>
  <si>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</si>
  <si>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</si>
  <si>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</si>
  <si>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</si>
  <si>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</si>
  <si>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</si>
  <si>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</si>
  <si>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</si>
  <si>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</si>
  <si>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</si>
  <si>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</si>
  <si>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</si>
  <si>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</si>
  <si>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</si>
  <si>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</si>
  <si>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</si>
  <si>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</si>
  <si>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</si>
  <si>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</si>
  <si>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</si>
  <si>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</si>
  <si>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</si>
  <si>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</si>
  <si>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</si>
  <si>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</si>
  <si>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</si>
  <si>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</si>
  <si>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</si>
  <si>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</si>
  <si>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</si>
  <si>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</si>
  <si>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</si>
  <si>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</si>
  <si>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</si>
  <si>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</si>
  <si>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</si>
  <si>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</si>
  <si>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</si>
  <si>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</si>
  <si>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</si>
  <si>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</si>
  <si>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</si>
  <si>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</si>
  <si>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</si>
  <si>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</si>
  <si>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</si>
  <si>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</si>
  <si>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</si>
  <si>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</si>
  <si>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</si>
  <si>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</si>
  <si>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</si>
  <si>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</si>
  <si>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</si>
  <si>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</si>
  <si>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</si>
  <si>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</si>
  <si>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</si>
  <si>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</si>
  <si>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</si>
  <si>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</si>
  <si>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</si>
  <si>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</si>
  <si>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</si>
  <si>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</si>
  <si>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</si>
  <si>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</si>
  <si>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</si>
  <si>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</si>
  <si>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</si>
  <si>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</si>
  <si>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</si>
  <si>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</si>
  <si>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</si>
  <si>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</si>
  <si>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</si>
  <si>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</si>
  <si>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</si>
  <si>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</si>
  <si>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</si>
  <si>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</si>
  <si>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</si>
  <si>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</si>
  <si>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</si>
  <si>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</si>
  <si>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</si>
  <si>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</si>
  <si>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</si>
  <si>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</si>
  <si>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</si>
  <si>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</si>
  <si>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</si>
  <si>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</si>
  <si>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</si>
  <si>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</si>
  <si>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</si>
  <si>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</si>
  <si>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</si>
  <si>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</si>
  <si>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</si>
  <si>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</si>
  <si>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</si>
  <si>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</si>
  <si>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</si>
  <si>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</si>
  <si>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</si>
  <si>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</si>
  <si>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</si>
  <si>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</si>
  <si>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</si>
  <si>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</si>
  <si>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</si>
  <si>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</si>
  <si>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</si>
  <si>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</si>
  <si>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</si>
  <si>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</si>
  <si>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</si>
  <si>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</si>
  <si>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</si>
  <si>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</si>
  <si>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</si>
  <si>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</si>
  <si>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</si>
  <si>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</si>
  <si>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</si>
  <si>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</si>
  <si>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</si>
  <si>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</si>
  <si>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</si>
  <si>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</si>
  <si>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</si>
  <si>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</si>
  <si>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</si>
  <si>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</si>
  <si>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</si>
  <si>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</si>
  <si>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</si>
  <si>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</si>
  <si>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</si>
  <si>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</si>
  <si>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</si>
  <si>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</si>
  <si>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</si>
  <si>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</si>
  <si>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</si>
  <si>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</si>
  <si>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</si>
  <si>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</si>
  <si>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</si>
  <si>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</si>
  <si>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</si>
  <si>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</si>
  <si>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</si>
  <si>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</si>
  <si>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</si>
  <si>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</si>
  <si>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</si>
  <si>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</si>
  <si>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</si>
  <si>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</si>
  <si>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</si>
  <si>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</si>
  <si>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</si>
  <si>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</si>
  <si>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</si>
  <si>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</si>
  <si>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</si>
  <si>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</si>
  <si>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</si>
  <si>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</si>
  <si>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</si>
  <si>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</si>
  <si>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</si>
  <si>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</si>
  <si>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</si>
  <si>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</si>
  <si>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</si>
  <si>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</si>
  <si>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</si>
  <si>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</si>
  <si>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</si>
  <si>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</si>
  <si>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</si>
  <si>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</si>
  <si>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</si>
  <si>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</si>
  <si>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</si>
  <si>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</si>
  <si>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</si>
  <si>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</si>
  <si>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</si>
  <si>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</si>
  <si>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</si>
  <si>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</si>
  <si>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</si>
  <si>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</si>
  <si>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</si>
  <si>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</si>
  <si>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</si>
  <si>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</si>
  <si>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</si>
  <si>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</si>
  <si>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</si>
  <si>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</si>
  <si>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</si>
  <si>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</si>
  <si>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</si>
  <si>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</si>
  <si>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</si>
  <si>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</si>
  <si>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</si>
  <si>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</si>
  <si>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</si>
  <si>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</si>
  <si>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</si>
  <si>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</si>
  <si>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</si>
  <si>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</si>
  <si>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</si>
  <si>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</si>
  <si>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</si>
  <si>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</si>
  <si>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</si>
  <si>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</si>
  <si>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</si>
  <si>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</si>
  <si>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</si>
  <si>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</si>
  <si>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</si>
  <si>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</si>
  <si>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</si>
  <si>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</si>
  <si>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</si>
  <si>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</si>
  <si>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</si>
  <si>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</si>
  <si>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</si>
  <si>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</si>
  <si>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</si>
  <si>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</si>
  <si>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</si>
  <si>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</si>
  <si>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</si>
  <si>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</si>
  <si>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</si>
  <si>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</si>
  <si>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</si>
  <si>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</si>
  <si>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</si>
  <si>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</si>
  <si>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</si>
  <si>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</si>
  <si>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</si>
  <si>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</si>
  <si>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</si>
  <si>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</si>
  <si>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</si>
  <si>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</si>
  <si>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</si>
  <si>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</si>
  <si>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</si>
  <si>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</si>
  <si>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</si>
  <si>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</si>
  <si>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</si>
  <si>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</si>
  <si>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</si>
  <si>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</si>
  <si>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</si>
  <si>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</si>
  <si>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</si>
  <si>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</si>
  <si>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</si>
  <si>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</si>
  <si>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</si>
  <si>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</si>
  <si>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</si>
  <si>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</si>
  <si>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</si>
  <si>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</si>
  <si>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</si>
  <si>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</si>
  <si>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</si>
  <si>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</si>
  <si>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</si>
  <si>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</si>
  <si>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</si>
  <si>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</si>
  <si>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</si>
  <si>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</si>
  <si>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</si>
  <si>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</si>
  <si>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</si>
  <si>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</si>
  <si>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</si>
  <si>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</si>
  <si>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</si>
  <si>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</si>
  <si>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</si>
  <si>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</si>
  <si>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</si>
  <si>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</si>
  <si>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</si>
  <si>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</si>
  <si>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</si>
  <si>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</si>
  <si>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</si>
  <si>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</si>
  <si>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</si>
  <si>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</si>
  <si>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</si>
  <si>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</si>
  <si>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</si>
  <si>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</si>
  <si>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</si>
  <si>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</si>
  <si>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</si>
  <si>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</si>
  <si>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</si>
  <si>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</si>
  <si>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</si>
  <si>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</si>
  <si>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</si>
  <si>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</si>
  <si>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</si>
  <si>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</si>
  <si>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</si>
  <si>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</si>
  <si>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</si>
  <si>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</si>
  <si>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</si>
  <si>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</si>
  <si>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</si>
  <si>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</si>
  <si>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</si>
  <si>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</si>
  <si>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</si>
  <si>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</si>
  <si>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</si>
  <si>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</si>
  <si>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</si>
  <si>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</si>
  <si>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</si>
  <si>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</si>
  <si>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</si>
  <si>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</si>
  <si>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</si>
  <si>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</si>
  <si>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</si>
  <si>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</si>
  <si>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</si>
  <si>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</si>
  <si>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</si>
  <si>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</si>
  <si>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</si>
  <si>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</si>
  <si>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</si>
  <si>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</si>
  <si>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</si>
  <si>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</si>
  <si>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</si>
  <si>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</si>
  <si>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</si>
  <si>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</si>
  <si>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</si>
  <si>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</si>
  <si>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</si>
  <si>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</si>
  <si>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</si>
  <si>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</si>
  <si>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</si>
  <si>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</si>
  <si>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</si>
  <si>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</si>
  <si>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</si>
  <si>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</si>
  <si>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</si>
  <si>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</si>
  <si>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</si>
  <si>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</si>
  <si>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</si>
  <si>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</si>
  <si>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</si>
  <si>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</si>
  <si>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</si>
  <si>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</si>
  <si>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</si>
  <si>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</si>
  <si>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</si>
  <si>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</si>
  <si>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</si>
  <si>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</si>
  <si>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</si>
  <si>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</si>
  <si>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</si>
  <si>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</si>
  <si>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</si>
  <si>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</si>
  <si>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</si>
  <si>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</si>
  <si>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</si>
  <si>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</si>
  <si>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</si>
  <si>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</si>
  <si>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</si>
  <si>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</si>
  <si>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</si>
  <si>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</si>
  <si>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</si>
  <si>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</si>
  <si>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</si>
  <si>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</si>
  <si>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</si>
  <si>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</si>
  <si>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</si>
  <si>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</si>
  <si>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</si>
  <si>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</si>
  <si>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</si>
  <si>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</si>
  <si>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</si>
  <si>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</si>
  <si>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</si>
  <si>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</si>
  <si>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</si>
  <si>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</si>
  <si>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</si>
  <si>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</si>
  <si>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</si>
  <si>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</si>
  <si>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</si>
  <si>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</si>
  <si>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</si>
  <si>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</si>
  <si>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</si>
  <si>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</si>
  <si>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</si>
  <si>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</si>
  <si>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</si>
  <si>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</si>
  <si>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</si>
  <si>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</si>
  <si>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</si>
  <si>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</si>
  <si>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</si>
  <si>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</si>
  <si>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</si>
  <si>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</si>
  <si>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</si>
  <si>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</si>
  <si>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</si>
  <si>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</si>
  <si>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</si>
  <si>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</si>
  <si>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</si>
  <si>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</si>
  <si>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</si>
  <si>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</si>
  <si>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</si>
  <si>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</si>
  <si>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</si>
  <si>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</si>
  <si>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</si>
  <si>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</si>
  <si>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</si>
  <si>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</si>
  <si>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</si>
  <si>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</si>
  <si>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</si>
  <si>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</si>
  <si>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</si>
  <si>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</si>
  <si>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</si>
  <si>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</si>
  <si>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</si>
  <si>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</si>
  <si>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</si>
  <si>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</si>
  <si>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</si>
  <si>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</si>
  <si>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</si>
  <si>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</si>
  <si>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</si>
  <si>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</si>
  <si>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</si>
  <si>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</si>
  <si>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</si>
  <si>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</si>
  <si>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</si>
  <si>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</si>
  <si>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</si>
  <si>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</si>
  <si>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</si>
  <si>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</si>
  <si>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</si>
  <si>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</si>
  <si>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</si>
  <si>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</si>
  <si>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</si>
  <si>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</si>
  <si>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</si>
  <si>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</si>
  <si>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</si>
  <si>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</si>
  <si>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</si>
  <si>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</si>
  <si>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</si>
  <si>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</si>
  <si>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</si>
  <si>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</si>
  <si>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</si>
  <si>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</si>
  <si>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</si>
  <si>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</si>
  <si>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</si>
  <si>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</si>
  <si>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</si>
  <si>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</si>
  <si>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</si>
  <si>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</si>
  <si>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</si>
  <si>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</si>
  <si>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</si>
  <si>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</si>
  <si>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</si>
  <si>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</si>
  <si>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</si>
  <si>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</si>
  <si>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</si>
  <si>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</si>
  <si>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</si>
  <si>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</si>
  <si>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</si>
  <si>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</si>
  <si>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</si>
  <si>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</si>
  <si>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</si>
  <si>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</si>
  <si>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</si>
  <si>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</si>
  <si>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</si>
  <si>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</si>
  <si>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</si>
  <si>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</si>
  <si>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</si>
  <si>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</si>
  <si>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</si>
  <si>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</si>
  <si>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</si>
  <si>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</si>
  <si>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</si>
  <si>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</si>
  <si>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</si>
  <si>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</si>
  <si>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</si>
  <si>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</si>
  <si>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</si>
  <si>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</si>
  <si>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</si>
  <si>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</si>
  <si>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</si>
  <si>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</si>
  <si>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</si>
  <si>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</si>
  <si>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</si>
  <si>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</si>
  <si>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</si>
  <si>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</si>
  <si>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</si>
  <si>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</si>
  <si>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</si>
  <si>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</si>
  <si>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</si>
  <si>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</si>
  <si>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</si>
  <si>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</si>
  <si>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</si>
  <si>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</si>
  <si>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</si>
  <si>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</si>
  <si>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</si>
  <si>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</si>
  <si>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</si>
  <si>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</si>
  <si>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</si>
  <si>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</si>
  <si>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</si>
  <si>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</si>
  <si>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</si>
  <si>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</si>
  <si>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</si>
  <si>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</si>
  <si>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</si>
  <si>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</si>
  <si>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</si>
  <si>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</si>
  <si>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</si>
  <si>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</si>
  <si>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</si>
  <si>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</si>
  <si>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</si>
  <si>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</si>
  <si>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</si>
  <si>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</si>
  <si>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</si>
  <si>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</si>
  <si>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</si>
  <si>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</si>
  <si>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</si>
  <si>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</si>
  <si>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</si>
  <si>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</si>
  <si>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</si>
  <si>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</si>
  <si>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</si>
  <si>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</si>
  <si>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</si>
  <si>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</si>
  <si>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</si>
  <si>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</si>
  <si>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</si>
  <si>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</si>
  <si>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</si>
  <si>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</si>
  <si>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</si>
  <si>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</si>
  <si>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</si>
  <si>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</si>
  <si>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</si>
  <si>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</si>
  <si>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</si>
  <si>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</si>
  <si>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</si>
  <si>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</si>
  <si>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</si>
  <si>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</si>
  <si>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</si>
  <si>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</si>
  <si>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</si>
  <si>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</si>
  <si>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</si>
  <si>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</si>
  <si>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</si>
  <si>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</si>
  <si>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</si>
  <si>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</si>
  <si>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</si>
  <si>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</si>
  <si>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</si>
  <si>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</si>
  <si>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</si>
  <si>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</si>
  <si>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</si>
  <si>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</si>
  <si>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</si>
  <si>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</si>
  <si>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</si>
  <si>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</si>
  <si>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</si>
  <si>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</si>
  <si>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</si>
  <si>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</si>
  <si>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</si>
  <si>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</si>
  <si>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</si>
  <si>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</si>
  <si>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</si>
  <si>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</si>
  <si>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</si>
  <si>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</si>
  <si>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</si>
  <si>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</si>
  <si>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</si>
  <si>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</si>
  <si>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</si>
  <si>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</si>
  <si>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</si>
  <si>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</si>
  <si>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</si>
  <si>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</si>
  <si>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</si>
  <si>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</si>
  <si>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</si>
  <si>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</si>
  <si>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</si>
  <si>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</si>
  <si>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</si>
  <si>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</si>
  <si>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</si>
  <si>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</si>
  <si>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</si>
  <si>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</si>
  <si>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</si>
  <si>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</si>
  <si>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</si>
  <si>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</si>
  <si>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</si>
  <si>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</si>
  <si>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</si>
  <si>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</si>
  <si>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</si>
  <si>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</si>
  <si>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</si>
  <si>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</si>
  <si>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</si>
  <si>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</si>
  <si>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</si>
  <si>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</si>
  <si>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</si>
  <si>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</si>
  <si>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</si>
  <si>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</si>
  <si>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</si>
  <si>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</si>
  <si>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</si>
  <si>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</si>
  <si>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</si>
  <si>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</si>
  <si>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</si>
  <si>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</si>
  <si>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</si>
  <si>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</si>
  <si>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</si>
  <si>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</si>
  <si>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</si>
  <si>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</si>
  <si>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</si>
  <si>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</si>
  <si>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</si>
  <si>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</si>
  <si>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</si>
  <si>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</si>
  <si>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</si>
  <si>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</si>
  <si>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</si>
  <si>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</si>
  <si>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</si>
  <si>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</si>
  <si>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</si>
  <si>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</si>
  <si>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</si>
  <si>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</si>
  <si>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</si>
  <si>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</si>
  <si>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</si>
  <si>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</si>
  <si>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</si>
  <si>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</si>
  <si>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</si>
  <si>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</si>
  <si>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</si>
  <si>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</si>
  <si>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</si>
  <si>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</si>
  <si>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</si>
  <si>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</si>
  <si>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</si>
  <si>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</si>
  <si>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</si>
  <si>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</si>
  <si>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</si>
  <si>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</si>
  <si>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</si>
  <si>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</si>
  <si>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</si>
  <si>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</si>
  <si>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</si>
  <si>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</si>
  <si>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</si>
  <si>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</si>
  <si>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</si>
  <si>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</si>
  <si>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</si>
  <si>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</si>
  <si>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</si>
  <si>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</si>
  <si>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</si>
  <si>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</si>
  <si>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</si>
  <si>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</si>
  <si>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</si>
  <si>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</si>
  <si>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</si>
  <si>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</si>
  <si>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</si>
  <si>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</si>
  <si>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</si>
  <si>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</si>
  <si>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</si>
  <si>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</si>
  <si>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</si>
  <si>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</si>
  <si>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</si>
  <si>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</si>
  <si>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</si>
  <si>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</si>
  <si>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</si>
  <si>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</si>
  <si>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</si>
  <si>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</si>
  <si>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</si>
  <si>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</si>
  <si>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</si>
  <si>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</si>
  <si>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</si>
  <si>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</si>
  <si>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</si>
  <si>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</si>
  <si>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</si>
  <si>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</si>
  <si>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</si>
  <si>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</si>
  <si>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</si>
  <si>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</si>
  <si>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</si>
  <si>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</si>
  <si>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</si>
  <si>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</si>
  <si>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</si>
  <si>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</si>
  <si>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</si>
  <si>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</si>
  <si>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</si>
  <si>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</si>
  <si>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</si>
  <si>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</si>
  <si>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</si>
  <si>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</si>
  <si>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</si>
  <si>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</si>
  <si>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</si>
  <si>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</si>
  <si>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</si>
  <si>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</si>
  <si>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</si>
  <si>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</si>
  <si>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</si>
  <si>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</si>
  <si>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</si>
  <si>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</si>
  <si>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</si>
  <si>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</si>
  <si>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</si>
  <si>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</si>
  <si>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</si>
  <si>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</si>
  <si>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</si>
  <si>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</si>
  <si>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</si>
  <si>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</si>
  <si>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</si>
  <si>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</si>
  <si>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</si>
  <si>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</si>
  <si>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</si>
  <si>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</si>
  <si>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</si>
  <si>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</si>
  <si>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</si>
  <si>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</si>
  <si>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</si>
  <si>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</si>
  <si>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</si>
  <si>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</si>
  <si>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</si>
  <si>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</si>
  <si>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</si>
  <si>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</si>
  <si>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</si>
  <si>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</si>
  <si>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</si>
  <si>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</si>
  <si>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</si>
  <si>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</si>
  <si>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</si>
  <si>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</si>
  <si>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</si>
  <si>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</si>
  <si>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</si>
  <si>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</si>
  <si>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</si>
  <si>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</si>
  <si>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</si>
  <si>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</si>
  <si>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</si>
  <si>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</si>
  <si>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</si>
  <si>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</si>
  <si>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</si>
  <si>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</si>
  <si>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</si>
  <si>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</si>
  <si>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</si>
  <si>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</si>
  <si>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</si>
  <si>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</si>
  <si>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</si>
  <si>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</si>
  <si>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</si>
  <si>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</si>
  <si>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</si>
  <si>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</si>
  <si>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</si>
  <si>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</si>
  <si>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</si>
  <si>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</si>
  <si>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</si>
  <si>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</si>
  <si>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</si>
  <si>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</si>
  <si>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</si>
  <si>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</si>
  <si>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</si>
  <si>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</si>
  <si>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</si>
  <si>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</si>
  <si>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</si>
  <si>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</si>
  <si>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</si>
  <si>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</si>
  <si>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</si>
  <si>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</si>
  <si>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</si>
  <si>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</si>
  <si>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</si>
  <si>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</si>
  <si>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</si>
  <si>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</si>
  <si>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</si>
  <si>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</si>
  <si>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</si>
  <si>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</si>
  <si>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</si>
  <si>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</si>
  <si>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</si>
  <si>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</si>
  <si>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</si>
  <si>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</si>
  <si>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</si>
  <si>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</si>
  <si>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</si>
  <si>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</si>
  <si>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</si>
  <si>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</si>
  <si>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</si>
  <si>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</si>
  <si>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</si>
  <si>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</si>
  <si>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</si>
  <si>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</si>
  <si>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</si>
  <si>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</si>
  <si>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</si>
  <si>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</si>
  <si>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</si>
  <si>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</si>
  <si>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</si>
  <si>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</si>
  <si>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</si>
  <si>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</si>
  <si>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</si>
  <si>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</si>
  <si>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</si>
  <si>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</si>
  <si>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</si>
  <si>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</si>
  <si>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</si>
  <si>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</si>
  <si>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</si>
  <si>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</si>
  <si>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</si>
  <si>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</si>
  <si>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</si>
  <si>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</si>
  <si>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</si>
  <si>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</si>
  <si>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</si>
  <si>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</si>
  <si>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</si>
  <si>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</si>
  <si>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</si>
  <si>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</si>
  <si>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</si>
  <si>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</si>
  <si>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</si>
  <si>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</si>
  <si>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</si>
  <si>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</si>
  <si>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</si>
  <si>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</si>
  <si>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</si>
  <si>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</si>
  <si>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</si>
  <si>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</si>
  <si>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</si>
  <si>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</si>
  <si>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</si>
  <si>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</si>
  <si>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</si>
  <si>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</si>
  <si>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</si>
  <si>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</si>
  <si>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</si>
  <si>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</si>
  <si>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</si>
  <si>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</si>
  <si>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</si>
  <si>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</si>
  <si>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</si>
  <si>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</si>
  <si>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</si>
  <si>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</si>
  <si>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</si>
  <si>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</si>
  <si>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</si>
  <si>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</si>
  <si>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</si>
  <si>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</si>
  <si>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</si>
  <si>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</si>
  <si>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</si>
  <si>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</si>
  <si>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</si>
  <si>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</si>
  <si>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</si>
  <si>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</si>
  <si>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</si>
  <si>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</si>
  <si>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</si>
  <si>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</si>
  <si>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</si>
  <si>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</si>
  <si>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</si>
  <si>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</si>
  <si>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</si>
  <si>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</si>
  <si>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</si>
  <si>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</si>
  <si>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</si>
  <si>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</si>
  <si>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</si>
  <si>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</si>
  <si>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</si>
  <si>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</si>
  <si>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</si>
  <si>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</si>
  <si>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</si>
  <si>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</si>
  <si>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</si>
  <si>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</si>
  <si>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</si>
  <si>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</si>
  <si>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</si>
  <si>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</si>
  <si>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</si>
  <si>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</si>
  <si>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</si>
  <si>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</si>
  <si>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</si>
  <si>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</si>
  <si>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</si>
  <si>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</si>
  <si>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</si>
  <si>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</si>
  <si>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</si>
  <si>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</si>
  <si>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</si>
  <si>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</si>
  <si>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</si>
  <si>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</si>
  <si>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</si>
  <si>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</si>
  <si>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</si>
  <si>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</si>
  <si>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</si>
  <si>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</si>
  <si>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</si>
  <si>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</si>
  <si>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</si>
  <si>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</si>
  <si>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</si>
  <si>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</si>
  <si>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</si>
  <si>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</si>
  <si>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</si>
  <si>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</si>
  <si>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</si>
  <si>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</si>
  <si>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</si>
  <si>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</si>
  <si>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</si>
  <si>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</si>
  <si>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</si>
  <si>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</si>
  <si>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</si>
  <si>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</si>
  <si>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</si>
  <si>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</si>
  <si>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</si>
  <si>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</si>
  <si>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</si>
  <si>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</si>
  <si>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</si>
  <si>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</si>
  <si>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</si>
  <si>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</si>
  <si>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</si>
  <si>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</si>
  <si>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</si>
  <si>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</si>
  <si>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</si>
  <si>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</si>
  <si>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</si>
  <si>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</si>
  <si>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</si>
  <si>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</si>
  <si>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</si>
  <si>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</si>
  <si>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</si>
  <si>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</si>
  <si>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</si>
  <si>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</si>
  <si>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</si>
  <si>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</si>
  <si>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</si>
  <si>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</si>
  <si>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</si>
  <si>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</si>
  <si>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</si>
  <si>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</si>
  <si>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</si>
  <si>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</si>
  <si>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</si>
  <si>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</si>
  <si>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</si>
  <si>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</si>
  <si>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</si>
  <si>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</si>
  <si>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</si>
  <si>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</si>
  <si>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</si>
  <si>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</si>
  <si>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</si>
  <si>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</si>
  <si>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</si>
  <si>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</si>
  <si>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</si>
  <si>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</si>
  <si>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</si>
  <si>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</si>
  <si>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</si>
  <si>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</si>
  <si>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</si>
  <si>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</si>
  <si>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</si>
  <si>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</si>
  <si>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</si>
  <si>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</si>
  <si>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</si>
  <si>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</si>
  <si>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</si>
  <si>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</si>
  <si>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</si>
  <si>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</si>
  <si>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</si>
  <si>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</si>
  <si>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</si>
  <si>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</si>
  <si>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</si>
  <si>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</si>
  <si>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</si>
  <si>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</si>
  <si>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</si>
  <si>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</si>
  <si>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</si>
  <si>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</si>
  <si>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</si>
  <si>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</si>
  <si>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</si>
  <si>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</si>
  <si>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</si>
  <si>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</si>
  <si>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</si>
  <si>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</si>
  <si>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</si>
  <si>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</si>
  <si>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</si>
  <si>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</si>
  <si>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</si>
  <si>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</si>
  <si>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</si>
  <si>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</si>
  <si>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</si>
  <si>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</si>
  <si>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</si>
  <si>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</si>
  <si>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</si>
  <si>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</si>
  <si>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</si>
  <si>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</si>
  <si>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</si>
  <si>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</si>
  <si>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</si>
  <si>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</si>
  <si>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</si>
  <si>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</si>
  <si>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</si>
  <si>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</si>
  <si>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</si>
  <si>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</si>
  <si>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</si>
  <si>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</si>
  <si>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</si>
  <si>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</si>
  <si>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</si>
  <si>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</si>
  <si>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</si>
  <si>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</si>
  <si>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</si>
  <si>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</si>
  <si>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</si>
  <si>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</si>
  <si>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</si>
  <si>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</si>
  <si>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</si>
  <si>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</si>
  <si>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</si>
  <si>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</si>
  <si>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</si>
  <si>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</si>
  <si>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</si>
  <si>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</si>
  <si>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</si>
  <si>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</si>
  <si>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</si>
  <si>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</si>
  <si>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</si>
  <si>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</si>
  <si>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</si>
  <si>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</si>
  <si>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</si>
  <si>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</si>
  <si>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</si>
  <si>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</si>
  <si>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</si>
  <si>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</si>
  <si>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</si>
  <si>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</si>
  <si>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</si>
  <si>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</si>
  <si>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</si>
  <si>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</si>
  <si>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</si>
  <si>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</si>
  <si>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</si>
  <si>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</si>
  <si>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</si>
  <si>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</si>
  <si>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</si>
  <si>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</si>
  <si>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</si>
  <si>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</si>
  <si>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</si>
  <si>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</si>
  <si>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</si>
  <si>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</si>
  <si>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</si>
  <si>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</si>
  <si>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</si>
  <si>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</si>
  <si>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</si>
  <si>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</si>
  <si>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</si>
  <si>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</si>
  <si>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</si>
  <si>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</si>
  <si>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</si>
  <si>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</si>
  <si>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</si>
  <si>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</si>
  <si>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</si>
  <si>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</si>
  <si>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</si>
  <si>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</si>
  <si>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</si>
  <si>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</si>
  <si>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</si>
  <si>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</si>
  <si>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</si>
  <si>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</si>
  <si>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</si>
  <si>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</si>
  <si>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</si>
  <si>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</si>
  <si>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</si>
  <si>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</si>
  <si>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</si>
  <si>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</si>
  <si>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</si>
  <si>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</si>
  <si>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</si>
  <si>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</si>
  <si>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</si>
  <si>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</si>
  <si>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</si>
  <si>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</si>
  <si>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</si>
  <si>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</si>
  <si>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</si>
  <si>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</si>
  <si>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</si>
  <si>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</si>
  <si>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</si>
  <si>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</si>
  <si>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</si>
  <si>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</si>
  <si>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</si>
  <si>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</si>
  <si>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</si>
  <si>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</si>
  <si>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</si>
  <si>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</si>
  <si>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</si>
  <si>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</si>
  <si>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</si>
  <si>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</si>
  <si>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</si>
  <si>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</si>
  <si>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</si>
  <si>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</si>
  <si>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</si>
  <si>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</si>
  <si>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</si>
  <si>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</si>
  <si>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</si>
  <si>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</si>
  <si>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</si>
  <si>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</si>
  <si>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</si>
  <si>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</si>
  <si>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</si>
  <si>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</si>
  <si>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</si>
  <si>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</si>
  <si>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</si>
  <si>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</si>
  <si>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</si>
  <si>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</si>
  <si>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</si>
  <si>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</si>
  <si>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</si>
  <si>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</si>
  <si>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</si>
  <si>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</si>
  <si>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</si>
  <si>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</si>
  <si>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</si>
  <si>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</si>
  <si>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</si>
  <si>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</si>
  <si>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</si>
  <si>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</si>
  <si>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</si>
  <si>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</si>
  <si>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</si>
  <si>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</si>
  <si>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</si>
  <si>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</si>
  <si>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</si>
  <si>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</si>
  <si>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</si>
  <si>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</si>
  <si>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</si>
  <si>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</si>
  <si>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</si>
  <si>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</si>
  <si>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</si>
  <si>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</si>
  <si>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</si>
  <si>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</si>
  <si>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</si>
  <si>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</si>
  <si>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</si>
  <si>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</si>
  <si>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</si>
  <si>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</si>
  <si>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</si>
  <si>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</si>
  <si>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</si>
  <si>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</si>
  <si>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</si>
  <si>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</si>
  <si>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</si>
  <si>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</si>
  <si>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</si>
  <si>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</si>
  <si>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</si>
  <si>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</si>
  <si>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</si>
  <si>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</si>
  <si>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</si>
  <si>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</si>
  <si>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</si>
  <si>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</si>
  <si>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</si>
  <si>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</si>
  <si>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</si>
  <si>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</si>
  <si>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</si>
  <si>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</si>
  <si>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</si>
  <si>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</si>
  <si>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</si>
  <si>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</si>
  <si>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</si>
  <si>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</si>
  <si>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</si>
  <si>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</si>
  <si>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</si>
  <si>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</si>
  <si>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</si>
  <si>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</si>
  <si>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</si>
  <si>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</si>
  <si>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</si>
  <si>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</si>
  <si>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</si>
  <si>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</si>
  <si>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</si>
  <si>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</si>
  <si>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</si>
  <si>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</si>
  <si>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</si>
  <si>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</si>
  <si>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</si>
  <si>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</si>
  <si>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</si>
  <si>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</si>
  <si>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</si>
  <si>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</si>
  <si>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</si>
  <si>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</si>
  <si>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</si>
  <si>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</si>
  <si>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</si>
  <si>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</si>
  <si>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</si>
  <si>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</si>
  <si>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</si>
  <si>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</si>
  <si>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</si>
  <si>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</si>
  <si>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</si>
  <si>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</si>
  <si>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</si>
  <si>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</si>
  <si>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</si>
  <si>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</si>
  <si>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</si>
  <si>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</si>
  <si>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</si>
  <si>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</si>
  <si>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</si>
  <si>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</si>
  <si>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</si>
  <si>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</si>
  <si>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</si>
  <si>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</si>
  <si>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</si>
  <si>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</si>
  <si>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</si>
  <si>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</si>
  <si>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</si>
  <si>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</si>
  <si>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</si>
  <si>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</si>
  <si>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</si>
  <si>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</si>
  <si>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</si>
  <si>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</si>
  <si>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</si>
  <si>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</si>
  <si>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</si>
  <si>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</si>
  <si>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</si>
  <si>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</si>
  <si>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</si>
  <si>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</si>
  <si>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</si>
  <si>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</si>
  <si>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</si>
  <si>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</si>
  <si>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</si>
  <si>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</si>
  <si>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</si>
  <si>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</si>
  <si>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</si>
  <si>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</si>
  <si>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</si>
  <si>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</si>
  <si>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</si>
  <si>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</si>
  <si>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</si>
  <si>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</si>
  <si>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</si>
  <si>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</si>
  <si>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</si>
  <si>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</si>
  <si>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</si>
  <si>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</si>
  <si>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</si>
  <si>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</si>
  <si>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</si>
  <si>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</si>
  <si>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</si>
  <si>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</si>
  <si>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</si>
  <si>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</si>
  <si>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</si>
  <si>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</si>
  <si>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</si>
  <si>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</si>
  <si>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</si>
  <si>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</si>
  <si>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</si>
  <si>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</si>
  <si>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</si>
  <si>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</si>
  <si>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</si>
  <si>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</si>
  <si>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</si>
  <si>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</si>
  <si>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</si>
  <si>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</si>
  <si>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</si>
  <si>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</si>
  <si>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</si>
  <si>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</si>
  <si>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</si>
  <si>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</si>
  <si>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</si>
  <si>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</si>
  <si>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</si>
  <si>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</si>
  <si>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</si>
  <si>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</si>
  <si>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</si>
  <si>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</si>
  <si>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</si>
  <si>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</si>
  <si>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</si>
  <si>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</si>
  <si>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</si>
  <si>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</si>
  <si>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</si>
  <si>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</si>
  <si>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</si>
  <si>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</si>
  <si>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</si>
  <si>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</si>
  <si>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</si>
  <si>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</si>
  <si>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</si>
  <si>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</si>
  <si>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</si>
  <si>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</si>
  <si>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</si>
  <si>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</si>
  <si>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</si>
  <si>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</si>
  <si>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</si>
  <si>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</si>
  <si>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</si>
  <si>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</si>
  <si>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</si>
  <si>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</si>
  <si>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</si>
  <si>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</si>
  <si>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</si>
  <si>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</si>
  <si>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</si>
  <si>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</si>
  <si>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</si>
  <si>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</si>
  <si>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</si>
  <si>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</si>
  <si>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</si>
  <si>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</si>
  <si>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</si>
  <si>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</si>
  <si>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</si>
  <si>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</si>
  <si>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</si>
  <si>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</si>
  <si>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</si>
  <si>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</si>
  <si>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</si>
  <si>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</si>
  <si>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</si>
  <si>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</si>
  <si>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</si>
  <si>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</si>
  <si>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</si>
  <si>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</si>
  <si>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</si>
  <si>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</si>
  <si>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</si>
  <si>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</si>
  <si>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</si>
  <si>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</si>
  <si>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</si>
  <si>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</si>
  <si>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</si>
  <si>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</si>
  <si>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</si>
  <si>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</si>
  <si>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</si>
  <si>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</si>
  <si>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</si>
  <si>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</si>
  <si>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</si>
  <si>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</si>
  <si>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</si>
  <si>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</si>
  <si>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</si>
  <si>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</si>
  <si>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</si>
  <si>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</si>
  <si>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</si>
  <si>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</si>
  <si>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</si>
  <si>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</si>
  <si>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</si>
  <si>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</si>
  <si>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</si>
  <si>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</si>
  <si>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</si>
  <si>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</si>
  <si>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</si>
  <si>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</si>
  <si>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</si>
  <si>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</si>
  <si>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</si>
  <si>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</si>
  <si>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</si>
  <si>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</si>
  <si>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</si>
  <si>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</si>
  <si>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</si>
  <si>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</si>
  <si>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</si>
  <si>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</si>
  <si>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</si>
  <si>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</si>
  <si>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</si>
  <si>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</si>
  <si>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</si>
  <si>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</si>
  <si>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</si>
  <si>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</si>
  <si>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</si>
  <si>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</si>
  <si>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</si>
  <si>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</si>
  <si>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</si>
  <si>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</si>
  <si>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</si>
  <si>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</si>
  <si>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</si>
  <si>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</si>
  <si>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</si>
  <si>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</si>
  <si>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</si>
  <si>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</si>
  <si>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</si>
  <si>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</si>
  <si>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</si>
  <si>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</si>
  <si>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</si>
  <si>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</si>
  <si>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</si>
  <si>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</si>
  <si>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</si>
  <si>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</si>
  <si>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</si>
  <si>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</si>
  <si>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</si>
  <si>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</si>
  <si>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</si>
  <si>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</si>
  <si>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</si>
  <si>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</si>
  <si>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</si>
  <si>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</si>
  <si>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</si>
  <si>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</si>
  <si>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</si>
  <si>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</si>
  <si>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</si>
  <si>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</si>
  <si>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</si>
  <si>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</si>
  <si>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</si>
  <si>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</si>
  <si>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</si>
  <si>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</si>
  <si>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</si>
  <si>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</si>
  <si>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</si>
  <si>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</si>
  <si>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</si>
  <si>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</si>
  <si>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</si>
  <si>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</si>
  <si>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</si>
  <si>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</si>
  <si>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</si>
  <si>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</si>
  <si>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</si>
  <si>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</si>
  <si>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</si>
  <si>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</si>
  <si>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</si>
  <si>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</si>
  <si>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</si>
  <si>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</si>
  <si>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</si>
  <si>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</si>
  <si>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</si>
  <si>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</si>
  <si>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</si>
  <si>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</si>
  <si>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</si>
  <si>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</si>
  <si>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</si>
  <si>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</si>
  <si>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</si>
  <si>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</si>
  <si>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</si>
  <si>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</si>
  <si>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</si>
  <si>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</si>
  <si>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</si>
  <si>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</si>
  <si>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</si>
  <si>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</si>
  <si>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</si>
  <si>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</si>
  <si>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</si>
  <si>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</si>
  <si>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</si>
  <si>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</si>
  <si>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</si>
  <si>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</si>
  <si>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</si>
  <si>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</si>
  <si>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</si>
  <si>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</si>
  <si>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</si>
  <si>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</si>
  <si>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</si>
  <si>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</si>
  <si>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</si>
  <si>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</si>
  <si>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</si>
  <si>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</si>
  <si>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</si>
  <si>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</si>
  <si>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</si>
  <si>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</si>
  <si>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</si>
  <si>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</si>
  <si>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</si>
  <si>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</si>
  <si>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</si>
  <si>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</si>
  <si>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</si>
  <si>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</si>
  <si>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</si>
  <si>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</si>
  <si>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</si>
  <si>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</si>
  <si>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</si>
  <si>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</si>
  <si>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</si>
  <si>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</si>
  <si>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</si>
  <si>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</si>
  <si>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</si>
  <si>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</si>
  <si>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</si>
  <si>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</si>
  <si>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</si>
  <si>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</si>
  <si>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</si>
  <si>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</si>
  <si>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</si>
  <si>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</si>
  <si>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</si>
  <si>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</si>
  <si>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</si>
  <si>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</si>
  <si>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</si>
  <si>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</si>
  <si>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</si>
  <si>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</si>
  <si>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</si>
  <si>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</si>
  <si>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</si>
  <si>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</si>
  <si>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</si>
  <si>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</si>
  <si>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</si>
  <si>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</si>
  <si>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</si>
  <si>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</si>
  <si>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</si>
  <si>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</si>
  <si>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</si>
  <si>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</si>
  <si>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</si>
  <si>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</si>
  <si>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</si>
  <si>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</si>
  <si>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</si>
  <si>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</si>
  <si>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</si>
  <si>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</si>
  <si>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</si>
  <si>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</si>
  <si>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</si>
  <si>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</si>
  <si>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</si>
  <si>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</si>
  <si>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</si>
  <si>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</si>
  <si>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</si>
  <si>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</si>
  <si>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</si>
  <si>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</si>
  <si>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</si>
  <si>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</si>
  <si>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</si>
  <si>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</si>
  <si>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</si>
  <si>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</si>
  <si>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</si>
  <si>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</si>
  <si>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</si>
  <si>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</si>
  <si>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</si>
  <si>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</si>
  <si>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</si>
  <si>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</si>
  <si>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</si>
  <si>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</si>
  <si>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</si>
  <si>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</si>
  <si>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</si>
  <si>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</si>
  <si>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</si>
  <si>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</si>
  <si>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</si>
  <si>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</si>
  <si>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</si>
  <si>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</si>
  <si>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</si>
  <si>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</si>
  <si>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</si>
  <si>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</si>
  <si>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</si>
  <si>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</si>
  <si>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</si>
  <si>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</si>
  <si>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</si>
  <si>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</si>
  <si>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</si>
  <si>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</si>
  <si>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</si>
  <si>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</si>
  <si>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</si>
  <si>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</si>
  <si>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</si>
  <si>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</si>
  <si>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</si>
  <si>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</si>
  <si>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</si>
  <si>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</si>
  <si>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</si>
  <si>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</si>
  <si>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</si>
  <si>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</si>
  <si>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</si>
  <si>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</si>
  <si>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</si>
  <si>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</si>
  <si>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</si>
  <si>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</si>
  <si>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</si>
  <si>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</si>
  <si>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</si>
  <si>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</si>
  <si>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</si>
  <si>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</si>
  <si>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</si>
  <si>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</si>
  <si>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</si>
  <si>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</si>
  <si>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</si>
  <si>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</si>
  <si>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</si>
  <si>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</si>
  <si>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</si>
  <si>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</si>
  <si>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</si>
  <si>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</si>
  <si>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</si>
  <si>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</si>
  <si>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</si>
  <si>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</si>
  <si>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</si>
  <si>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</si>
  <si>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</si>
  <si>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</si>
  <si>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</si>
  <si>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</si>
  <si>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</si>
  <si>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</si>
  <si>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</si>
  <si>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</si>
  <si>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</si>
  <si>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</si>
  <si>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</si>
  <si>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</si>
  <si>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</si>
  <si>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</si>
  <si>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</si>
  <si>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</si>
  <si>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</si>
  <si>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</si>
  <si>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</si>
  <si>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</si>
  <si>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</si>
  <si>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</si>
  <si>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</si>
  <si>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</si>
  <si>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</si>
  <si>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</si>
  <si>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</si>
  <si>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</si>
  <si>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</si>
  <si>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</si>
  <si>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</si>
  <si>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</si>
  <si>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</si>
  <si>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</si>
  <si>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</si>
  <si>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</si>
  <si>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</si>
  <si>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</si>
  <si>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</si>
  <si>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</si>
  <si>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</si>
  <si>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</si>
  <si>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</si>
  <si>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</si>
  <si>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</si>
  <si>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</si>
  <si>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</si>
  <si>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</si>
  <si>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</si>
  <si>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</si>
  <si>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</si>
  <si>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</si>
  <si>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</si>
  <si>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</si>
  <si>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</si>
  <si>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</si>
  <si>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</si>
  <si>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</si>
  <si>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</si>
  <si>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</si>
  <si>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</si>
  <si>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</si>
  <si>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</si>
  <si>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</si>
  <si>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</si>
  <si>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</si>
  <si>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</si>
  <si>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</si>
  <si>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</si>
  <si>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</si>
  <si>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</si>
  <si>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</si>
  <si>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</si>
  <si>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</si>
  <si>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</si>
  <si>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</si>
  <si>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</si>
  <si>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</si>
  <si>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</si>
  <si>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</si>
  <si>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</si>
  <si>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</si>
  <si>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</si>
  <si>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</si>
  <si>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</si>
  <si>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</si>
  <si>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</si>
  <si>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</si>
  <si>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</si>
  <si>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</si>
  <si>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</si>
  <si>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</si>
  <si>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</si>
  <si>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</si>
  <si>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</si>
  <si>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</si>
  <si>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</si>
  <si>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</si>
  <si>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</si>
  <si>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</si>
  <si>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</si>
  <si>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</si>
  <si>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</si>
  <si>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</si>
  <si>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</si>
  <si>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</si>
  <si>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</si>
  <si>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</si>
  <si>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</si>
  <si>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</si>
  <si>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</si>
  <si>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</si>
  <si>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</si>
  <si>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</si>
  <si>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</si>
  <si>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</si>
  <si>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</si>
  <si>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</si>
  <si>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</si>
  <si>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</si>
  <si>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</si>
  <si>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</si>
  <si>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</si>
  <si>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</si>
  <si>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</si>
  <si>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</si>
  <si>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</si>
  <si>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</si>
  <si>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</si>
  <si>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</si>
  <si>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</si>
  <si>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</si>
  <si>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</si>
  <si>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</si>
  <si>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</si>
  <si>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</si>
  <si>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</si>
  <si>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</si>
  <si>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</si>
  <si>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</si>
  <si>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</si>
  <si>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</si>
  <si>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</si>
  <si>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</si>
  <si>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</si>
  <si>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</si>
  <si>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</si>
  <si>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</si>
  <si>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</si>
  <si>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</si>
  <si>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</si>
  <si>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</si>
  <si>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</si>
  <si>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</si>
  <si>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</si>
  <si>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</si>
  <si>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</si>
  <si>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</si>
  <si>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</si>
  <si>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</si>
  <si>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</si>
  <si>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</si>
  <si>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</si>
  <si>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</si>
  <si>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</si>
  <si>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</si>
  <si>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</si>
  <si>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</si>
  <si>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</si>
  <si>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</si>
  <si>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</si>
  <si>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</si>
  <si>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</si>
  <si>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</si>
  <si>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</si>
  <si>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</si>
  <si>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</si>
  <si>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</si>
  <si>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</si>
  <si>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</si>
  <si>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</si>
  <si>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</si>
  <si>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</si>
  <si>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</si>
  <si>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</si>
  <si>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</si>
  <si>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</si>
  <si>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</si>
  <si>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</si>
  <si>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</si>
  <si>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</si>
  <si>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</si>
  <si>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</si>
  <si>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</si>
  <si>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</si>
  <si>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</si>
  <si>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</si>
  <si>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</si>
  <si>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</si>
  <si>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</si>
  <si>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</si>
  <si>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</si>
  <si>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</si>
  <si>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</si>
  <si>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</si>
  <si>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</si>
  <si>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</si>
  <si>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</si>
  <si>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</si>
  <si>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</si>
  <si>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</si>
  <si>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</si>
  <si>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</si>
  <si>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</si>
  <si>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</si>
  <si>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</si>
  <si>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</si>
  <si>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</si>
  <si>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</si>
  <si>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</si>
  <si>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</si>
  <si>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</si>
  <si>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</si>
  <si>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</si>
  <si>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</si>
  <si>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</si>
  <si>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</si>
  <si>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</si>
  <si>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</si>
  <si>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</si>
  <si>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</si>
  <si>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</si>
  <si>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</si>
  <si>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</si>
  <si>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</si>
  <si>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</si>
  <si>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</si>
  <si>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</si>
  <si>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</si>
  <si>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</si>
  <si>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</si>
  <si>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</si>
  <si>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</si>
  <si>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</si>
  <si>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</si>
  <si>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</si>
  <si>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</si>
  <si>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</si>
  <si>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</si>
  <si>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</si>
  <si>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</si>
  <si>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</si>
  <si>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</si>
  <si>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</si>
  <si>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</si>
  <si>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</si>
  <si>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</si>
  <si>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</si>
  <si>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</si>
  <si>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</si>
  <si>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</si>
  <si>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</si>
  <si>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</si>
  <si>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</si>
  <si>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</si>
  <si>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</si>
  <si>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</si>
  <si>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</si>
  <si>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</si>
  <si>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</si>
  <si>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</si>
  <si>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</si>
  <si>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</si>
  <si>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</si>
  <si>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</si>
  <si>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</si>
  <si>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</si>
  <si>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</si>
  <si>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</si>
  <si>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</si>
  <si>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</si>
  <si>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</si>
  <si>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</si>
  <si>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</si>
  <si>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</si>
  <si>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</si>
  <si>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</si>
  <si>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</si>
  <si>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</si>
  <si>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</si>
  <si>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</si>
  <si>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</si>
  <si>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</si>
  <si>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</si>
  <si>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</si>
  <si>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</si>
  <si>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</si>
  <si>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</si>
  <si>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</si>
  <si>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</si>
  <si>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</si>
  <si>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</si>
  <si>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</si>
  <si>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</si>
  <si>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</si>
  <si>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</si>
  <si>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</si>
  <si>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</si>
  <si>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</si>
  <si>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</si>
  <si>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</si>
  <si>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</si>
  <si>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</si>
  <si>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</si>
  <si>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</si>
  <si>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</si>
  <si>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</si>
  <si>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</si>
  <si>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</si>
  <si>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</si>
  <si>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</si>
  <si>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</si>
  <si>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</si>
  <si>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</si>
  <si>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</si>
  <si>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</si>
  <si>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</si>
  <si>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</si>
  <si>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</si>
  <si>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</si>
  <si>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</si>
  <si>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</si>
  <si>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</si>
  <si>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</si>
  <si>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</si>
  <si>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</si>
  <si>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</si>
  <si>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</si>
  <si>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</si>
  <si>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</si>
  <si>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</si>
  <si>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</si>
  <si>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</si>
  <si>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</si>
  <si>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</si>
  <si>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</si>
  <si>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</si>
  <si>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</si>
  <si>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</si>
  <si>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</si>
  <si>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</si>
  <si>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</si>
  <si>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</si>
  <si>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</si>
  <si>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</si>
  <si>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</si>
  <si>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</si>
  <si>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</si>
  <si>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</si>
  <si>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</si>
  <si>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</si>
  <si>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</si>
  <si>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</si>
  <si>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</si>
  <si>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</si>
  <si>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</si>
  <si>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</si>
  <si>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</si>
  <si>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</si>
  <si>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</si>
  <si>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</si>
  <si>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</si>
  <si>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</si>
  <si>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</si>
  <si>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</si>
  <si>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</si>
  <si>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</si>
  <si>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</si>
  <si>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</si>
  <si>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</si>
  <si>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</si>
  <si>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</si>
  <si>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</si>
  <si>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</si>
  <si>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</si>
  <si>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</si>
  <si>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</si>
  <si>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</si>
  <si>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</si>
  <si>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</si>
  <si>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</si>
  <si>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</si>
  <si>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</si>
  <si>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</si>
  <si>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</si>
  <si>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</si>
  <si>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</si>
  <si>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</si>
  <si>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</si>
  <si>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</si>
  <si>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</si>
  <si>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</si>
  <si>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</si>
  <si>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</si>
  <si>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</si>
  <si>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</si>
  <si>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</si>
  <si>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</si>
  <si>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</si>
  <si>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</si>
  <si>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</si>
  <si>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</si>
  <si>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</si>
  <si>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</si>
  <si>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</si>
  <si>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</si>
  <si>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</si>
  <si>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</si>
  <si>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</si>
  <si>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</si>
  <si>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</si>
  <si>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</si>
  <si>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</si>
  <si>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</si>
  <si>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</si>
  <si>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</si>
  <si>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</si>
  <si>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</si>
  <si>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</si>
  <si>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</si>
  <si>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</si>
  <si>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</si>
  <si>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</si>
  <si>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</si>
  <si>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</si>
  <si>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</si>
  <si>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</si>
  <si>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</si>
  <si>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</si>
  <si>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</si>
  <si>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</si>
  <si>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</si>
  <si>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</si>
  <si>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</si>
  <si>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</si>
  <si>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</si>
  <si>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</si>
  <si>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</si>
  <si>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</si>
  <si>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</si>
  <si>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</si>
  <si>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</si>
  <si>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</si>
  <si>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</si>
  <si>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</si>
  <si>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</si>
  <si>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</si>
  <si>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</si>
  <si>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</si>
  <si>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</si>
  <si>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</si>
  <si>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</si>
  <si>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</si>
  <si>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</si>
  <si>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</si>
  <si>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</si>
  <si>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</si>
  <si>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</si>
  <si>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</si>
  <si>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</si>
  <si>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</si>
  <si>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</si>
  <si>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</si>
  <si>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</si>
  <si>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</si>
  <si>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</si>
  <si>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</si>
  <si>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</si>
  <si>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</si>
  <si>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</si>
  <si>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</si>
  <si>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</si>
  <si>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</si>
  <si>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</si>
  <si>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</si>
  <si>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</si>
  <si>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</si>
  <si>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</si>
  <si>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</si>
  <si>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</si>
  <si>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</si>
  <si>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</si>
  <si>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</si>
  <si>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</si>
  <si>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</si>
  <si>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</si>
  <si>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</si>
  <si>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</si>
  <si>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</si>
  <si>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</si>
  <si>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</si>
  <si>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</si>
  <si>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</si>
  <si>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</si>
  <si>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</si>
  <si>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</si>
  <si>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</si>
  <si>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</si>
  <si>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</si>
  <si>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</si>
  <si>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</si>
  <si>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</si>
  <si>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</si>
  <si>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</si>
  <si>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</si>
  <si>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</si>
  <si>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</si>
  <si>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</si>
  <si>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</si>
  <si>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</si>
  <si>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</si>
  <si>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</si>
  <si>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</si>
  <si>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</si>
  <si>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</si>
  <si>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</si>
  <si>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</si>
  <si>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</si>
  <si>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</si>
  <si>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</si>
  <si>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</si>
  <si>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</si>
  <si>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</si>
  <si>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</si>
  <si>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</si>
  <si>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</si>
  <si>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</si>
  <si>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</si>
  <si>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</si>
  <si>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</si>
  <si>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</si>
  <si>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</si>
  <si>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</si>
  <si>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</si>
  <si>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</si>
  <si>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</si>
  <si>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</si>
  <si>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</si>
  <si>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</si>
  <si>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</si>
  <si>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</si>
  <si>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</si>
  <si>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</si>
  <si>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</si>
  <si>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</si>
  <si>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</si>
  <si>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</si>
  <si>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</si>
  <si>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</si>
  <si>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</si>
  <si>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</si>
  <si>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</si>
  <si>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</si>
  <si>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</si>
  <si>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</si>
  <si>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</si>
  <si>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</si>
  <si>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</si>
  <si>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</si>
  <si>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</si>
  <si>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</si>
  <si>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</si>
  <si>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</si>
  <si>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</si>
  <si>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</si>
  <si>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</si>
  <si>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</si>
  <si>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</si>
  <si>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</si>
  <si>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</si>
  <si>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</si>
  <si>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</si>
  <si>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</si>
  <si>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</si>
  <si>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</si>
  <si>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</si>
  <si>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</si>
  <si>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</si>
  <si>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</si>
  <si>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</si>
  <si>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</si>
  <si>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</si>
  <si>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</si>
  <si>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</si>
  <si>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</si>
  <si>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</si>
  <si>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</si>
  <si>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</si>
  <si>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</si>
  <si>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</si>
  <si>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</si>
  <si>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</si>
  <si>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</si>
  <si>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</si>
  <si>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</si>
  <si>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</si>
  <si>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</si>
  <si>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</si>
  <si>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</si>
  <si>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</si>
  <si>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</si>
  <si>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</si>
  <si>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</si>
  <si>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</si>
  <si>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</si>
  <si>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</si>
  <si>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</si>
  <si>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</si>
  <si>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</si>
  <si>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</si>
  <si>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</si>
  <si>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</si>
  <si>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</si>
  <si>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</si>
  <si>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</si>
  <si>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</si>
  <si>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</si>
  <si>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</si>
  <si>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</si>
  <si>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</si>
  <si>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</si>
  <si>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</si>
  <si>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</si>
  <si>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</si>
  <si>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</si>
  <si>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</si>
  <si>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</si>
  <si>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</si>
  <si>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</si>
  <si>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</si>
  <si>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</si>
  <si>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</si>
  <si>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</si>
  <si>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</si>
  <si>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</si>
  <si>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</si>
  <si>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</si>
  <si>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</si>
  <si>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</si>
  <si>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</si>
  <si>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</si>
  <si>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</si>
  <si>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</si>
  <si>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</si>
  <si>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</si>
  <si>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</si>
  <si>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</si>
  <si>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</si>
  <si>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</si>
  <si>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</si>
  <si>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</si>
  <si>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</si>
  <si>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</si>
  <si>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</si>
  <si>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</si>
  <si>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</si>
  <si>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</si>
  <si>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</si>
  <si>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</si>
  <si>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</si>
  <si>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</si>
  <si>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</si>
  <si>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</si>
  <si>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</si>
  <si>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</si>
  <si>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</si>
  <si>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</si>
  <si>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</si>
  <si>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</si>
  <si>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</si>
  <si>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</si>
  <si>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</si>
  <si>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</si>
  <si>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</si>
  <si>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</si>
  <si>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</si>
  <si>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</si>
  <si>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</si>
  <si>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</si>
  <si>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</si>
  <si>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</si>
  <si>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</si>
  <si>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</si>
  <si>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</si>
  <si>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</si>
  <si>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</si>
  <si>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</si>
  <si>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</si>
  <si>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</si>
  <si>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</si>
  <si>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</si>
  <si>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</si>
  <si>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</si>
  <si>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</si>
  <si>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</si>
  <si>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</si>
  <si>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</si>
  <si>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</si>
  <si>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</si>
  <si>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</si>
  <si>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</si>
  <si>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</si>
  <si>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</si>
  <si>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</si>
  <si>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</si>
  <si>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</si>
  <si>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</si>
  <si>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</si>
  <si>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</si>
  <si>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</si>
  <si>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</si>
  <si>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</si>
  <si>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</si>
  <si>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</si>
  <si>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</si>
  <si>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</si>
  <si>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</si>
  <si>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</si>
  <si>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</si>
  <si>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</si>
  <si>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</si>
  <si>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</si>
  <si>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</si>
  <si>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</si>
  <si>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</si>
  <si>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</si>
  <si>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</si>
  <si>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</si>
  <si>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</si>
  <si>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</si>
  <si>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</si>
  <si>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</si>
  <si>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</si>
  <si>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</si>
  <si>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</si>
  <si>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</si>
  <si>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</si>
  <si>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</si>
  <si>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</si>
  <si>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</si>
  <si>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</si>
  <si>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</si>
  <si>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</si>
  <si>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</si>
  <si>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</si>
  <si>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</si>
  <si>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</si>
  <si>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</si>
  <si>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</si>
  <si>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</si>
  <si>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</si>
  <si>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</si>
  <si>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</si>
  <si>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</si>
  <si>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</si>
  <si>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</si>
  <si>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</si>
  <si>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</si>
  <si>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</si>
  <si>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</si>
  <si>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</si>
  <si>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</si>
  <si>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</si>
  <si>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</si>
  <si>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</si>
  <si>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</si>
  <si>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</si>
  <si>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</si>
  <si>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</si>
  <si>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</si>
  <si>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</si>
  <si>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</si>
  <si>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</si>
  <si>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</si>
  <si>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</si>
  <si>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</si>
  <si>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</si>
  <si>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</si>
  <si>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</si>
  <si>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</si>
  <si>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</si>
  <si>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</si>
  <si>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</si>
  <si>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</si>
  <si>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</si>
  <si>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</si>
  <si>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</si>
  <si>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</si>
  <si>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</si>
  <si>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</si>
  <si>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</si>
  <si>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</si>
  <si>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</si>
  <si>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</si>
  <si>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</si>
  <si>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</si>
  <si>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</si>
  <si>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</si>
  <si>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</si>
  <si>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</si>
  <si>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</si>
  <si>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</si>
  <si>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</si>
  <si>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</si>
  <si>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</si>
  <si>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</si>
  <si>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</si>
  <si>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</si>
  <si>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</si>
  <si>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</si>
  <si>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</si>
  <si>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</si>
  <si>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</si>
  <si>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</si>
  <si>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</si>
  <si>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</si>
  <si>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</si>
  <si>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</si>
  <si>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</si>
  <si>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</si>
  <si>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</si>
  <si>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</si>
  <si>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</si>
  <si>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</si>
  <si>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</si>
  <si>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</si>
  <si>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</si>
  <si>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</si>
  <si>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</si>
  <si>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</si>
  <si>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</si>
  <si>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</si>
  <si>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</si>
  <si>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</si>
  <si>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</si>
  <si>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</si>
  <si>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</si>
  <si>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</si>
  <si>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</si>
  <si>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</si>
  <si>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</si>
  <si>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</si>
  <si>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</si>
  <si>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</si>
  <si>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</si>
  <si>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</si>
  <si>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</si>
  <si>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</si>
  <si>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</si>
  <si>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</si>
  <si>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</si>
  <si>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</si>
  <si>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</si>
  <si>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</si>
  <si>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</si>
  <si>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</si>
  <si>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</si>
  <si>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</si>
  <si>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</si>
  <si>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</si>
  <si>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</si>
  <si>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</si>
  <si>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</si>
  <si>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</si>
  <si>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</si>
  <si>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</si>
  <si>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</si>
  <si>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</si>
  <si>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</si>
  <si>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</si>
  <si>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</si>
  <si>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</si>
  <si>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</si>
  <si>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</si>
  <si>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</si>
  <si>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</si>
  <si>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</si>
  <si>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</si>
  <si>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</si>
  <si>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</si>
  <si>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</si>
  <si>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</si>
  <si>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</si>
  <si>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</si>
  <si>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</si>
  <si>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</si>
  <si>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</si>
  <si>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</si>
  <si>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</si>
  <si>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</si>
  <si>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</si>
  <si>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</si>
  <si>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</si>
  <si>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</si>
  <si>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</si>
  <si>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</si>
  <si>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</si>
  <si>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</si>
  <si>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</si>
  <si>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</si>
  <si>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</si>
  <si>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</si>
  <si>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</si>
  <si>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</si>
  <si>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</si>
  <si>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</si>
  <si>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</si>
  <si>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</si>
  <si>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</si>
  <si>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</si>
  <si>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</si>
  <si>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</si>
  <si>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</si>
  <si>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</si>
  <si>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</si>
  <si>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</si>
  <si>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</si>
  <si>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</si>
  <si>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</si>
  <si>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</si>
  <si>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</si>
  <si>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</si>
  <si>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</si>
  <si>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</si>
  <si>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</si>
  <si>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</si>
  <si>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</si>
  <si>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</si>
  <si>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</si>
  <si>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</si>
  <si>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</si>
  <si>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</si>
  <si>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</si>
  <si>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</si>
  <si>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</si>
  <si>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</si>
  <si>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</si>
  <si>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</si>
  <si>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</si>
  <si>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</si>
  <si>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</si>
  <si>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</si>
  <si>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</si>
  <si>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</si>
  <si>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</si>
  <si>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</si>
  <si>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</si>
  <si>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</si>
  <si>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</si>
  <si>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</si>
  <si>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</si>
  <si>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</si>
  <si>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</si>
  <si>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</si>
  <si>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</si>
  <si>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</si>
  <si>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</si>
  <si>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</si>
  <si>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</si>
  <si>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</si>
  <si>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</si>
  <si>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</si>
  <si>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</si>
  <si>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</si>
  <si>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</si>
  <si>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</si>
  <si>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</si>
  <si>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</si>
  <si>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</si>
  <si>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</si>
  <si>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</si>
  <si>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</si>
  <si>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</si>
  <si>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</si>
  <si>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</si>
  <si>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</si>
  <si>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</si>
  <si>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</si>
  <si>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</si>
  <si>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</si>
  <si>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</si>
  <si>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</si>
  <si>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</si>
  <si>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</si>
  <si>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</si>
  <si>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</si>
  <si>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</si>
  <si>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</si>
  <si>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</si>
  <si>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</si>
  <si>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</si>
  <si>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</si>
  <si>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</si>
  <si>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</si>
  <si>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</si>
  <si>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</si>
  <si>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</si>
  <si>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</si>
  <si>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</si>
  <si>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</si>
  <si>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</si>
  <si>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</si>
  <si>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</si>
  <si>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</si>
  <si>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</si>
  <si>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</si>
  <si>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</si>
  <si>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</si>
  <si>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</si>
  <si>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</si>
  <si>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</si>
  <si>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</si>
  <si>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</si>
  <si>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</si>
  <si>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</si>
  <si>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</si>
  <si>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</si>
  <si>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</si>
  <si>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</si>
  <si>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</si>
  <si>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</si>
  <si>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</si>
  <si>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</si>
  <si>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</si>
  <si>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</si>
  <si>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</si>
  <si>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</si>
  <si>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</si>
  <si>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</si>
  <si>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</si>
  <si>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</si>
  <si>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</si>
  <si>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</si>
  <si>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</si>
  <si>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</si>
  <si>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</si>
  <si>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</si>
  <si>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</si>
  <si>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</si>
  <si>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</si>
  <si>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</si>
  <si>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</si>
  <si>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</si>
  <si>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</si>
  <si>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</si>
  <si>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</si>
  <si>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</si>
  <si>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</si>
  <si>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</si>
  <si>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</si>
  <si>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</si>
  <si>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</si>
  <si>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</si>
  <si>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</si>
  <si>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</si>
  <si>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</si>
  <si>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</si>
  <si>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</si>
  <si>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</si>
  <si>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</si>
  <si>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</si>
  <si>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</si>
  <si>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</si>
  <si>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</si>
  <si>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</si>
  <si>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</si>
  <si>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</si>
  <si>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</si>
  <si>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</si>
  <si>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</si>
  <si>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</si>
  <si>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</si>
  <si>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</si>
  <si>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</si>
  <si>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</si>
  <si>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</si>
  <si>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</si>
  <si>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</si>
  <si>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</si>
  <si>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</si>
  <si>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</si>
  <si>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</si>
  <si>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</si>
  <si>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</si>
  <si>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</si>
  <si>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</si>
  <si>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</si>
  <si>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</si>
  <si>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</si>
  <si>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</si>
  <si>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</si>
  <si>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</si>
  <si>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</si>
  <si>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</si>
  <si>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</si>
  <si>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</si>
  <si>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</si>
  <si>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</si>
  <si>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</si>
  <si>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</si>
  <si>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</si>
  <si>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</si>
  <si>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</si>
  <si>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</si>
  <si>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</si>
  <si>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</si>
  <si>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</si>
  <si>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</si>
  <si>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</si>
  <si>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</si>
  <si>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</si>
  <si>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</si>
  <si>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</si>
  <si>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</si>
  <si>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</si>
  <si>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</si>
  <si>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</si>
  <si>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</si>
  <si>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</si>
  <si>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</si>
  <si>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</si>
  <si>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</si>
  <si>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</si>
  <si>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</si>
  <si>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</si>
  <si>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</si>
  <si>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</si>
  <si>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</si>
  <si>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</si>
  <si>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</si>
  <si>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</si>
  <si>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</si>
  <si>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</si>
  <si>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</si>
  <si>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</si>
  <si>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</si>
  <si>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</si>
  <si>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</si>
  <si>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</si>
  <si>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</si>
  <si>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</si>
  <si>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</si>
  <si>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</si>
  <si>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</si>
  <si>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</si>
  <si>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</si>
  <si>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</si>
  <si>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</si>
  <si>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</si>
  <si>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</si>
  <si>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</si>
  <si>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</si>
  <si>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</si>
  <si>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</si>
  <si>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</si>
  <si>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</si>
  <si>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</si>
  <si>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</si>
  <si>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</si>
  <si>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</si>
  <si>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</si>
  <si>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</si>
  <si>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</si>
  <si>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</si>
  <si>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</si>
  <si>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</si>
  <si>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</si>
  <si>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</si>
  <si>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</si>
  <si>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</si>
  <si>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</si>
  <si>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</si>
  <si>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</si>
  <si>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</si>
  <si>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</si>
  <si>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</si>
  <si>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</si>
  <si>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</si>
  <si>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</si>
  <si>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</si>
  <si>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</si>
  <si>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</si>
  <si>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</si>
  <si>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</si>
  <si>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</si>
  <si>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</si>
  <si>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</si>
  <si>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</si>
  <si>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</si>
  <si>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</si>
  <si>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</si>
  <si>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</si>
  <si>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</si>
  <si>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</si>
  <si>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</si>
  <si>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</si>
  <si>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</si>
  <si>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</si>
  <si>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</si>
  <si>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</si>
  <si>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</si>
  <si>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</si>
  <si>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</si>
  <si>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</si>
  <si>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</si>
  <si>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</si>
  <si>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</si>
  <si>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</si>
  <si>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</si>
  <si>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</si>
  <si>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</si>
  <si>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</si>
  <si>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</si>
  <si>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</si>
  <si>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</si>
  <si>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</si>
  <si>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</si>
  <si>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</si>
  <si>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</si>
  <si>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</si>
  <si>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</si>
  <si>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</si>
  <si>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</si>
  <si>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</si>
  <si>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</si>
  <si>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</si>
  <si>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</si>
  <si>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</si>
  <si>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</si>
  <si>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</si>
  <si>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</si>
  <si>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</si>
  <si>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</si>
  <si>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</si>
  <si>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</si>
  <si>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</si>
  <si>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</si>
  <si>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</si>
  <si>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</si>
  <si>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</si>
  <si>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</si>
  <si>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</si>
  <si>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</si>
  <si>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</si>
  <si>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</si>
  <si>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</si>
  <si>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</si>
  <si>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</si>
  <si>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</si>
  <si>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</si>
  <si>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</si>
  <si>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</si>
  <si>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</si>
  <si>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</si>
  <si>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</si>
  <si>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</si>
  <si>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</si>
  <si>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</si>
  <si>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</si>
  <si>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</si>
  <si>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</si>
  <si>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</si>
  <si>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</si>
  <si>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</si>
  <si>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</si>
  <si>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</si>
  <si>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</si>
  <si>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</si>
  <si>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</si>
  <si>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</si>
  <si>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</si>
  <si>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</si>
  <si>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</si>
  <si>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</si>
  <si>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</si>
  <si>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</si>
  <si>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</si>
  <si>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</si>
  <si>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</si>
  <si>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</si>
  <si>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</si>
  <si>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</si>
  <si>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</si>
  <si>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</si>
  <si>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</si>
  <si>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</si>
  <si>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</si>
  <si>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</si>
  <si>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</si>
  <si>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</si>
  <si>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</si>
  <si>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</si>
  <si>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</si>
  <si>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</si>
  <si>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</si>
  <si>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</si>
  <si>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</si>
  <si>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</si>
  <si>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</si>
  <si>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</si>
  <si>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</si>
  <si>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</si>
  <si>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</si>
  <si>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</si>
  <si>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</si>
  <si>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</si>
  <si>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</si>
  <si>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</si>
  <si>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</si>
  <si>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</si>
  <si>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</si>
  <si>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</si>
  <si>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</si>
  <si>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</si>
  <si>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</si>
  <si>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</si>
  <si>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</si>
  <si>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</si>
  <si>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</si>
  <si>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</si>
  <si>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</si>
  <si>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</si>
  <si>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</si>
  <si>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</si>
  <si>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</si>
  <si>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</si>
  <si>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</si>
  <si>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</si>
  <si>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</si>
  <si>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</si>
  <si>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</si>
  <si>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</si>
  <si>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</si>
  <si>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</si>
  <si>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</si>
  <si>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</si>
  <si>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</si>
  <si>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</si>
  <si>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</si>
  <si>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</si>
  <si>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</si>
  <si>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</si>
  <si>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</si>
  <si>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</si>
  <si>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</si>
  <si>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</si>
  <si>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</si>
  <si>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</si>
  <si>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</si>
  <si>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</si>
  <si>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</si>
  <si>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</si>
  <si>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</si>
  <si>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</si>
  <si>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</si>
  <si>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</si>
  <si>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</si>
  <si>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</si>
  <si>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</si>
  <si>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</si>
  <si>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</si>
  <si>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</si>
  <si>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</si>
  <si>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</si>
  <si>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</si>
  <si>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</si>
  <si>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</si>
  <si>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</si>
  <si>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</si>
  <si>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</si>
  <si>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</si>
  <si>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</si>
  <si>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</si>
  <si>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</si>
  <si>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</si>
  <si>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</si>
  <si>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</si>
  <si>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</si>
  <si>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</si>
  <si>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</si>
  <si>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</si>
  <si>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</si>
  <si>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</si>
  <si>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</si>
  <si>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</si>
  <si>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</si>
  <si>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</si>
  <si>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</si>
  <si>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</si>
  <si>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</si>
  <si>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</si>
  <si>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</si>
  <si>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</si>
  <si>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</si>
  <si>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</si>
  <si>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</si>
  <si>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</si>
  <si>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</si>
  <si>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</si>
  <si>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</si>
  <si>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</si>
  <si>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</si>
  <si>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</si>
  <si>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</si>
  <si>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</si>
  <si>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</si>
  <si>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</si>
  <si>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</si>
  <si>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</si>
  <si>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</si>
  <si>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</si>
  <si>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</si>
  <si>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</si>
  <si>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</si>
  <si>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</si>
  <si>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</si>
  <si>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</si>
  <si>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</si>
  <si>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</si>
  <si>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</si>
  <si>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</si>
  <si>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</si>
  <si>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</si>
  <si>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</si>
  <si>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</si>
  <si>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</si>
  <si>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</si>
  <si>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</si>
  <si>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</si>
  <si>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</si>
  <si>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</si>
  <si>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</si>
  <si>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</si>
  <si>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</si>
  <si>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</si>
  <si>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</si>
  <si>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</si>
  <si>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</si>
  <si>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</si>
  <si>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</si>
  <si>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</si>
  <si>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</si>
  <si>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</si>
  <si>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</si>
  <si>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</si>
  <si>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</si>
  <si>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</si>
  <si>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</si>
  <si>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</si>
  <si>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</si>
  <si>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</si>
  <si>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</si>
  <si>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</si>
  <si>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</si>
  <si>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</si>
  <si>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</si>
  <si>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</si>
  <si>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</si>
  <si>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</si>
  <si>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</si>
  <si>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</si>
  <si>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</si>
  <si>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</si>
  <si>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</si>
  <si>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</si>
  <si>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</si>
  <si>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</si>
  <si>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</si>
  <si>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</si>
  <si>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</si>
  <si>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</si>
  <si>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</si>
  <si>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</si>
  <si>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</si>
  <si>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</si>
  <si>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</si>
  <si>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</si>
  <si>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</si>
  <si>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</si>
  <si>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</si>
  <si>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</si>
  <si>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</si>
  <si>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</si>
  <si>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</si>
  <si>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</si>
  <si>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</si>
  <si>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</si>
  <si>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</si>
  <si>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</si>
  <si>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</si>
  <si>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</si>
  <si>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</si>
  <si>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</si>
  <si>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</si>
  <si>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</si>
  <si>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</si>
  <si>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</si>
  <si>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</si>
  <si>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</si>
  <si>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</si>
  <si>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</si>
  <si>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</si>
  <si>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</si>
  <si>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</si>
  <si>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</si>
  <si>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</si>
  <si>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</si>
  <si>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</si>
  <si>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</si>
  <si>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</si>
  <si>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</si>
  <si>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</si>
  <si>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</si>
  <si>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</si>
  <si>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</si>
  <si>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</si>
  <si>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</si>
  <si>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</si>
  <si>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</si>
  <si>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</si>
  <si>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</si>
  <si>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</si>
  <si>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</si>
  <si>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</si>
  <si>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</si>
  <si>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</si>
  <si>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</si>
  <si>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</si>
  <si>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</si>
  <si>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</si>
  <si>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</si>
  <si>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</si>
  <si>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</si>
  <si>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</si>
  <si>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</si>
  <si>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</si>
  <si>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</si>
  <si>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</si>
  <si>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</si>
  <si>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</si>
  <si>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</si>
  <si>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</si>
  <si>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</si>
  <si>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</si>
  <si>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</si>
  <si>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</si>
  <si>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</si>
  <si>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</si>
  <si>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</si>
  <si>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</si>
  <si>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</si>
  <si>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</si>
  <si>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</si>
  <si>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</si>
  <si>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</si>
  <si>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</si>
  <si>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</si>
  <si>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</si>
  <si>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</si>
  <si>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</si>
  <si>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</si>
  <si>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</si>
  <si>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</si>
  <si>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</si>
  <si>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</si>
  <si>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</si>
  <si>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</si>
  <si>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</si>
  <si>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</si>
  <si>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</si>
  <si>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</si>
  <si>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</si>
  <si>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</si>
  <si>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</si>
  <si>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</si>
  <si>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</si>
  <si>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</si>
  <si>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</si>
  <si>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</si>
  <si>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</si>
  <si>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</si>
  <si>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</si>
  <si>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</si>
  <si>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</si>
  <si>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</si>
  <si>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</si>
  <si>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</si>
  <si>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</si>
  <si>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</si>
  <si>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</si>
  <si>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</si>
  <si>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</si>
  <si>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</si>
  <si>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</si>
  <si>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</si>
  <si>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</si>
  <si>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</si>
  <si>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</si>
  <si>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</si>
  <si>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</si>
  <si>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</si>
  <si>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</si>
  <si>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</si>
  <si>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</si>
  <si>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</si>
  <si>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</si>
  <si>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</si>
  <si>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</si>
  <si>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</si>
  <si>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</si>
  <si>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</si>
  <si>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</si>
  <si>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</si>
  <si>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</si>
  <si>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</si>
  <si>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</si>
  <si>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</si>
  <si>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</si>
  <si>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</si>
  <si>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</si>
  <si>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</si>
  <si>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</si>
  <si>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</si>
  <si>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</si>
  <si>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</si>
  <si>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</si>
  <si>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</si>
  <si>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</si>
  <si>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</si>
  <si>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</si>
  <si>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</si>
  <si>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</si>
  <si>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</si>
  <si>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</si>
  <si>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</si>
  <si>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</si>
  <si>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</si>
  <si>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</si>
  <si>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</si>
  <si>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</si>
  <si>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</si>
  <si>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</si>
  <si>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</si>
  <si>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</si>
  <si>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</si>
  <si>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</si>
  <si>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</si>
  <si>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</si>
  <si>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</si>
  <si>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</si>
  <si>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</si>
  <si>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</si>
  <si>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</si>
  <si>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</si>
  <si>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</si>
  <si>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</si>
  <si>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</si>
  <si>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</si>
  <si>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</si>
  <si>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</si>
  <si>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</si>
  <si>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</si>
  <si>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</si>
  <si>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</si>
  <si>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</si>
  <si>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</si>
  <si>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</si>
  <si>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</si>
  <si>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</si>
  <si>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</si>
  <si>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</si>
  <si>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</si>
  <si>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</si>
  <si>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</si>
  <si>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</si>
  <si>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</si>
  <si>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</si>
  <si>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</si>
  <si>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</si>
  <si>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</si>
  <si>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</si>
  <si>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</si>
  <si>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</si>
  <si>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</si>
  <si>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</si>
  <si>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</si>
  <si>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</si>
  <si>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</si>
  <si>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</si>
  <si>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</si>
  <si>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</si>
  <si>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</si>
  <si>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</si>
  <si>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</si>
  <si>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</si>
  <si>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</si>
  <si>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</si>
  <si>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</si>
  <si>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</si>
  <si>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</si>
  <si>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</si>
  <si>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</si>
  <si>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</si>
  <si>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</si>
  <si>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</si>
  <si>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</si>
  <si>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</si>
  <si>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</si>
  <si>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</si>
  <si>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</si>
  <si>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</si>
  <si>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</si>
  <si>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</si>
  <si>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</si>
  <si>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</si>
  <si>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</si>
  <si>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</si>
  <si>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</si>
  <si>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</si>
  <si>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</si>
  <si>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</si>
  <si>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</si>
  <si>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</si>
  <si>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</si>
  <si>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</si>
  <si>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</si>
  <si>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</si>
  <si>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</si>
  <si>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</si>
  <si>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</si>
  <si>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</si>
  <si>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</si>
  <si>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</si>
  <si>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</si>
  <si>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</si>
  <si>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</si>
  <si>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</si>
  <si>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</si>
  <si>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</si>
  <si>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</si>
  <si>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</si>
  <si>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</si>
  <si>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</si>
  <si>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</si>
  <si>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</si>
  <si>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</si>
  <si>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</si>
  <si>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</si>
  <si>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</si>
  <si>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</si>
  <si>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</si>
  <si>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</si>
  <si>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</si>
  <si>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</si>
  <si>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</si>
  <si>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</si>
  <si>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</si>
  <si>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</si>
  <si>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</si>
  <si>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</si>
  <si>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</si>
  <si>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</si>
  <si>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</si>
  <si>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</si>
  <si>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</si>
  <si>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</si>
  <si>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</si>
  <si>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</si>
  <si>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</si>
  <si>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</si>
  <si>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</si>
  <si>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</si>
  <si>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</si>
  <si>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</si>
  <si>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</si>
  <si>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</si>
  <si>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</si>
  <si>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</si>
  <si>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</si>
  <si>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</si>
  <si>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</si>
  <si>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</si>
  <si>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</si>
  <si>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</si>
  <si>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</si>
  <si>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</si>
  <si>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</si>
  <si>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</si>
  <si>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</si>
  <si>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</si>
  <si>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</si>
  <si>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</si>
  <si>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</si>
  <si>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</si>
  <si>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</si>
  <si>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</si>
  <si>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</si>
  <si>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</si>
  <si>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</si>
  <si>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</si>
  <si>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</si>
  <si>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</si>
  <si>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</si>
  <si>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</si>
  <si>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</si>
  <si>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</si>
  <si>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</si>
  <si>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</si>
  <si>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</si>
  <si>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</si>
  <si>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</si>
  <si>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</si>
  <si>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</si>
  <si>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</si>
  <si>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</si>
  <si>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</si>
  <si>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</si>
  <si>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</si>
  <si>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</si>
  <si>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</si>
  <si>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</si>
  <si>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</si>
  <si>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</si>
  <si>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</si>
  <si>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</si>
  <si>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</si>
  <si>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</si>
  <si>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</si>
  <si>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</si>
  <si>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</si>
  <si>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</si>
  <si>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</si>
  <si>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</si>
  <si>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</si>
  <si>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</si>
  <si>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</si>
  <si>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</si>
  <si>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</si>
  <si>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</si>
  <si>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</si>
  <si>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</si>
  <si>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</si>
  <si>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</si>
  <si>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</si>
  <si>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</si>
  <si>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</si>
  <si>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</si>
  <si>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</si>
  <si>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</si>
  <si>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</si>
  <si>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</si>
  <si>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</si>
  <si>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</si>
  <si>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</si>
  <si>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</si>
  <si>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</si>
  <si>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</si>
  <si>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</si>
  <si>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</si>
  <si>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</si>
  <si>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</si>
  <si>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</si>
  <si>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</si>
  <si>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</si>
  <si>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</si>
  <si>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</si>
  <si>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</si>
  <si>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</si>
  <si>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</si>
  <si>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</si>
  <si>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</si>
  <si>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</si>
  <si>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</si>
  <si>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</si>
  <si>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</si>
  <si>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</si>
  <si>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</si>
  <si>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</si>
  <si>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</si>
  <si>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</si>
  <si>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</si>
  <si>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</si>
  <si>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</si>
  <si>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</si>
  <si>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</si>
  <si>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</si>
  <si>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</si>
  <si>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</si>
  <si>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</si>
  <si>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</si>
  <si>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</si>
  <si>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</si>
  <si>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</si>
  <si>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</si>
  <si>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</si>
  <si>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</si>
  <si>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</si>
  <si>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</si>
  <si>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</si>
  <si>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</si>
  <si>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</si>
  <si>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</si>
  <si>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</si>
  <si>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</si>
  <si>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</si>
  <si>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</si>
  <si>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</si>
  <si>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</si>
  <si>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</si>
  <si>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</si>
  <si>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</si>
  <si>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</si>
  <si>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</si>
  <si>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</si>
  <si>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</si>
  <si>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</si>
  <si>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</si>
  <si>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</si>
  <si>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</si>
  <si>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</si>
  <si>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</si>
  <si>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</si>
  <si>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</si>
  <si>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</si>
  <si>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</si>
  <si>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</si>
  <si>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</si>
  <si>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</si>
  <si>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</si>
  <si>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</si>
  <si>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</si>
  <si>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</si>
  <si>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</si>
  <si>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</si>
  <si>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</si>
  <si>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</si>
  <si>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</si>
  <si>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</si>
  <si>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</si>
  <si>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</si>
  <si>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</si>
  <si>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</si>
  <si>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</si>
  <si>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</si>
  <si>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</si>
  <si>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</si>
  <si>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</si>
  <si>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</si>
  <si>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</si>
  <si>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</si>
  <si>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</si>
  <si>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</si>
  <si>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</si>
  <si>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</si>
  <si>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</si>
  <si>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</si>
  <si>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</si>
  <si>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</si>
  <si>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</si>
  <si>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</si>
  <si>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</si>
  <si>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</si>
  <si>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</si>
  <si>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</si>
  <si>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</si>
  <si>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</si>
  <si>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</si>
  <si>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</si>
  <si>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</si>
  <si>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</si>
  <si>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</si>
  <si>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</si>
  <si>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</si>
  <si>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</si>
  <si>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</si>
  <si>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</si>
  <si>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</si>
  <si>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</si>
  <si>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</si>
  <si>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</si>
  <si>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</si>
  <si>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</si>
  <si>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</si>
  <si>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</si>
  <si>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</si>
  <si>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</si>
  <si>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</si>
  <si>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</si>
  <si>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</si>
  <si>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</si>
  <si>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</si>
  <si>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</si>
  <si>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</si>
  <si>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</si>
  <si>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</si>
  <si>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</si>
  <si>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</si>
  <si>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</si>
  <si>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</si>
  <si>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</si>
  <si>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</si>
  <si>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</si>
  <si>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</si>
  <si>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</si>
  <si>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</si>
  <si>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</si>
  <si>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</si>
  <si>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</si>
  <si>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</si>
  <si>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</si>
  <si>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</si>
  <si>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</si>
  <si>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</si>
  <si>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</si>
  <si>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</si>
  <si>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</si>
  <si>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</si>
  <si>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</si>
  <si>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</si>
  <si>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</si>
  <si>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</si>
  <si>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</si>
  <si>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</si>
  <si>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</si>
  <si>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</si>
  <si>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</si>
  <si>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</si>
  <si>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</si>
  <si>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</si>
  <si>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</si>
  <si>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</si>
  <si>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</si>
  <si>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</si>
  <si>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</si>
  <si>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</si>
  <si>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</si>
  <si>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</si>
  <si>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</si>
  <si>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</si>
  <si>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</si>
  <si>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</si>
  <si>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</si>
  <si>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</si>
  <si>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</si>
  <si>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</si>
  <si>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</si>
  <si>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</si>
  <si>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</si>
  <si>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</si>
  <si>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</si>
  <si>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</si>
  <si>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</si>
  <si>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</si>
  <si>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</si>
  <si>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</si>
  <si>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</si>
  <si>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</si>
  <si>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</si>
  <si>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</si>
  <si>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</si>
  <si>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</si>
  <si>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</si>
  <si>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</si>
  <si>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</si>
  <si>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</si>
  <si>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</si>
  <si>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</si>
  <si>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</si>
  <si>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</si>
  <si>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</si>
  <si>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</si>
  <si>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</si>
  <si>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</si>
  <si>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</si>
  <si>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</si>
  <si>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</si>
  <si>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</si>
  <si>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</si>
  <si>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</si>
  <si>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</si>
  <si>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</si>
  <si>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</si>
  <si>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</si>
  <si>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</si>
  <si>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</si>
  <si>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</si>
  <si>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</si>
  <si>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</si>
  <si>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</si>
  <si>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</si>
  <si>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</si>
  <si>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</si>
  <si>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</si>
  <si>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</si>
  <si>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</si>
  <si>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</si>
  <si>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</si>
  <si>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</si>
  <si>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</si>
  <si>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</si>
  <si>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</si>
  <si>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</si>
  <si>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</si>
  <si>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</si>
  <si>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</si>
  <si>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</si>
  <si>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</si>
  <si>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</si>
  <si>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</si>
  <si>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</si>
  <si>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</si>
  <si>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</si>
  <si>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</si>
  <si>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</si>
  <si>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</si>
  <si>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</si>
  <si>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</si>
  <si>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</si>
  <si>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</si>
  <si>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</si>
  <si>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</si>
  <si>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</si>
  <si>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</si>
  <si>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</si>
  <si>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</si>
  <si>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</si>
  <si>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</si>
  <si>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</si>
  <si>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</si>
  <si>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</si>
  <si>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</si>
  <si>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</si>
  <si>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</si>
  <si>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</si>
  <si>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</si>
  <si>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</si>
  <si>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</si>
  <si>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</si>
  <si>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</si>
  <si>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</si>
  <si>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</si>
  <si>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</si>
  <si>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</si>
  <si>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</si>
  <si>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</si>
  <si>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</si>
  <si>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</si>
  <si>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</si>
  <si>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</si>
  <si>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</si>
  <si>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</si>
  <si>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</si>
  <si>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</si>
  <si>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</si>
  <si>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</si>
  <si>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</si>
  <si>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</si>
  <si>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</si>
  <si>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</si>
  <si>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</si>
  <si>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</si>
  <si>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</si>
  <si>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</si>
  <si>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</si>
  <si>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</si>
  <si>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</si>
  <si>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</si>
  <si>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</si>
  <si>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</si>
  <si>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</si>
  <si>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</si>
  <si>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</si>
  <si>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</si>
  <si>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</si>
  <si>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</si>
  <si>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</si>
  <si>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</si>
  <si>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</si>
  <si>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</si>
  <si>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</si>
  <si>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</si>
  <si>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</si>
  <si>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</si>
  <si>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</si>
  <si>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</si>
  <si>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</si>
  <si>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</si>
  <si>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</si>
  <si>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</si>
  <si>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</si>
  <si>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</si>
  <si>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</si>
  <si>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</si>
  <si>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</si>
  <si>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</si>
  <si>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</si>
  <si>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</si>
  <si>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</si>
  <si>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</si>
  <si>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</si>
  <si>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</si>
  <si>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</si>
  <si>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</si>
  <si>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</si>
  <si>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</si>
  <si>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</si>
  <si>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</si>
  <si>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</si>
  <si>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</si>
  <si>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</si>
  <si>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</si>
  <si>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</si>
  <si>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</si>
  <si>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</si>
  <si>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</si>
  <si>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</si>
  <si>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</si>
  <si>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</si>
  <si>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</si>
  <si>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</si>
  <si>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</si>
  <si>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</si>
  <si>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</si>
  <si>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</si>
  <si>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</si>
  <si>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</si>
  <si>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</si>
  <si>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</si>
  <si>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</si>
  <si>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</si>
  <si>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</si>
  <si>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</si>
  <si>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</si>
  <si>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</si>
  <si>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</si>
  <si>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</si>
  <si>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</si>
  <si>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</si>
  <si>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</si>
  <si>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</si>
  <si>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</si>
  <si>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</si>
  <si>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</si>
  <si>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</si>
  <si>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</si>
  <si>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</si>
  <si>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</si>
  <si>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</si>
  <si>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</si>
  <si>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</si>
  <si>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</si>
  <si>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</si>
  <si>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</si>
  <si>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</si>
  <si>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</si>
  <si>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</si>
  <si>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</si>
  <si>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</si>
  <si>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</si>
  <si>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</si>
  <si>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</si>
  <si>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</si>
  <si>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</si>
  <si>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</si>
  <si>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</si>
  <si>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</si>
  <si>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</si>
  <si>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</si>
  <si>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</si>
  <si>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</si>
  <si>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</si>
  <si>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</si>
  <si>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</si>
  <si>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</si>
  <si>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</si>
  <si>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</si>
  <si>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</si>
  <si>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</si>
  <si>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</si>
  <si>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</si>
  <si>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</si>
  <si>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</si>
  <si>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</si>
  <si>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</si>
  <si>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</si>
  <si>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</si>
  <si>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</si>
  <si>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</si>
  <si>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</si>
  <si>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</si>
  <si>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</si>
  <si>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</si>
  <si>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</si>
  <si>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</si>
  <si>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</si>
  <si>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</si>
  <si>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</si>
  <si>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</si>
  <si>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</si>
  <si>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</si>
  <si>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</si>
  <si>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</si>
  <si>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</si>
  <si>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</si>
  <si>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</si>
  <si>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</si>
  <si>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</si>
  <si>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</si>
  <si>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</si>
  <si>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</si>
  <si>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</si>
  <si>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</si>
  <si>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</si>
  <si>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</si>
  <si>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</si>
  <si>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</si>
  <si>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</si>
  <si>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</si>
  <si>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</si>
  <si>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</si>
  <si>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</si>
  <si>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</si>
  <si>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</si>
  <si>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</si>
  <si>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</si>
  <si>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</si>
  <si>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</si>
  <si>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</si>
  <si>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</si>
  <si>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</si>
  <si>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</si>
  <si>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</si>
  <si>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</si>
  <si>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</si>
  <si>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</si>
  <si>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</si>
  <si>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</si>
  <si>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</si>
  <si>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</si>
  <si>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</si>
  <si>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</si>
  <si>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</si>
  <si>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</si>
  <si>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</si>
  <si>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</si>
  <si>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</si>
  <si>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</si>
  <si>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</si>
  <si>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</si>
  <si>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</si>
  <si>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</si>
  <si>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</si>
  <si>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</si>
  <si>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</si>
  <si>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</si>
  <si>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</si>
  <si>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</si>
  <si>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</si>
  <si>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</si>
  <si>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</si>
  <si>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</si>
  <si>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</si>
  <si>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</si>
  <si>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</si>
  <si>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</si>
  <si>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</si>
  <si>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</si>
  <si>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</si>
  <si>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</si>
  <si>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</si>
  <si>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</si>
  <si>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</si>
  <si>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</si>
  <si>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</si>
  <si>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</si>
  <si>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</si>
  <si>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</si>
  <si>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</si>
  <si>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</si>
  <si>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</si>
  <si>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</si>
  <si>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</si>
  <si>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</si>
  <si>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</si>
  <si>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</si>
  <si>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</si>
  <si>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</si>
  <si>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</si>
  <si>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</si>
  <si>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</si>
  <si>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</si>
  <si>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</si>
  <si>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</si>
  <si>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</si>
  <si>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</si>
  <si>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</si>
  <si>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</si>
  <si>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</si>
  <si>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</si>
  <si>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</si>
  <si>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</si>
  <si>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</si>
  <si>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</si>
  <si>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</si>
  <si>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</si>
  <si>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</si>
  <si>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</si>
  <si>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</si>
  <si>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</si>
  <si>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</si>
  <si>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</si>
  <si>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</si>
  <si>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</si>
  <si>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</si>
  <si>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</si>
  <si>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</si>
  <si>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</si>
  <si>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</si>
  <si>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</si>
  <si>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</si>
  <si>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</si>
  <si>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</si>
  <si>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</si>
  <si>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</si>
  <si>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</si>
  <si>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</si>
  <si>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</si>
  <si>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</si>
  <si>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</si>
  <si>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</si>
  <si>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</si>
  <si>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</si>
  <si>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</si>
  <si>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</si>
  <si>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</si>
  <si>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</si>
  <si>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</si>
  <si>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</si>
  <si>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</si>
  <si>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</si>
  <si>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</si>
  <si>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</si>
  <si>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</si>
  <si>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</si>
  <si>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</si>
  <si>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</si>
  <si>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</si>
  <si>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</si>
  <si>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</si>
  <si>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</si>
  <si>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</si>
  <si>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</si>
  <si>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</si>
  <si>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</si>
  <si>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</si>
  <si>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</si>
  <si>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</si>
  <si>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</si>
  <si>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</si>
  <si>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</si>
  <si>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</si>
  <si>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</si>
  <si>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</si>
  <si>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</si>
  <si>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</si>
  <si>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</si>
  <si>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</si>
  <si>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</si>
  <si>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</si>
  <si>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</si>
  <si>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</si>
  <si>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</si>
  <si>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</si>
  <si>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</si>
  <si>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</si>
  <si>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</si>
  <si>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</si>
  <si>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</si>
  <si>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</si>
  <si>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</si>
  <si>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</si>
  <si>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</si>
  <si>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</si>
  <si>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</si>
  <si>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</si>
  <si>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</si>
  <si>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</si>
  <si>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</si>
  <si>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</si>
  <si>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</si>
  <si>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</si>
  <si>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</si>
  <si>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</si>
  <si>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</si>
  <si>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</si>
  <si>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</si>
  <si>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</si>
  <si>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</si>
  <si>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</si>
  <si>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</si>
  <si>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</si>
  <si>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</si>
  <si>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</si>
  <si>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</si>
  <si>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</si>
  <si>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</si>
  <si>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</si>
  <si>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</si>
  <si>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</si>
  <si>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</si>
  <si>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</si>
  <si>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</si>
  <si>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</si>
  <si>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</si>
  <si>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</si>
  <si>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</si>
  <si>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</si>
  <si>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</si>
  <si>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</si>
  <si>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</si>
  <si>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</si>
  <si>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</si>
  <si>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</si>
  <si>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</si>
  <si>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</si>
  <si>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</si>
  <si>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</si>
  <si>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</si>
  <si>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</si>
  <si>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</si>
  <si>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</si>
  <si>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</si>
  <si>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</si>
  <si>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</si>
  <si>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</si>
  <si>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</si>
  <si>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</si>
  <si>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</si>
  <si>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</si>
  <si>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</si>
  <si>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</si>
  <si>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</si>
  <si>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</si>
  <si>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</si>
  <si>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</si>
  <si>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</si>
  <si>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</si>
  <si>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</si>
  <si>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</si>
  <si>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</si>
  <si>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</si>
  <si>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</si>
  <si>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</si>
  <si>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</si>
  <si>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</si>
  <si>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</si>
  <si>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</si>
  <si>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</si>
  <si>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</si>
  <si>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</si>
  <si>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</si>
  <si>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</si>
  <si>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</si>
  <si>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</si>
  <si>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</si>
  <si>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</si>
  <si>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</si>
  <si>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</si>
  <si>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</si>
  <si>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</si>
  <si>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</si>
  <si>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</si>
  <si>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</si>
  <si>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</si>
  <si>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</si>
  <si>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</si>
  <si>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</si>
  <si>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</si>
  <si>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</si>
  <si>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</si>
  <si>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</si>
  <si>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</si>
  <si>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</si>
  <si>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</si>
  <si>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</si>
  <si>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</si>
  <si>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</si>
  <si>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</si>
  <si>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</si>
  <si>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</si>
  <si>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</si>
  <si>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</si>
  <si>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</si>
  <si>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</si>
  <si>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</si>
  <si>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</si>
  <si>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</si>
  <si>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</si>
  <si>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</si>
  <si>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</si>
  <si>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</si>
  <si>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</si>
  <si>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</si>
  <si>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</si>
  <si>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</si>
  <si>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</si>
  <si>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</si>
  <si>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</si>
  <si>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</si>
  <si>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</si>
  <si>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</si>
  <si>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</si>
  <si>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</si>
  <si>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</si>
  <si>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</si>
  <si>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</si>
  <si>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</si>
  <si>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</si>
  <si>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</si>
  <si>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</si>
  <si>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</si>
  <si>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</si>
  <si>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</si>
  <si>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</si>
  <si>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</si>
  <si>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</si>
  <si>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</si>
  <si>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</si>
  <si>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</si>
  <si>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</si>
  <si>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</si>
  <si>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</si>
  <si>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</si>
  <si>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</si>
  <si>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</si>
  <si>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</si>
  <si>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</si>
  <si>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</si>
  <si>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</si>
  <si>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</si>
  <si>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</si>
  <si>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</si>
  <si>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</si>
  <si>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</si>
  <si>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</si>
  <si>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</si>
  <si>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</si>
  <si>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</si>
  <si>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</si>
  <si>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</si>
  <si>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</si>
  <si>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</si>
  <si>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</si>
  <si>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</si>
  <si>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</si>
  <si>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</si>
  <si>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</si>
  <si>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</si>
  <si>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</si>
  <si>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</si>
  <si>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</si>
  <si>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</si>
  <si>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</si>
  <si>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</si>
  <si>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</si>
  <si>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</si>
  <si>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</si>
  <si>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</si>
  <si>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</si>
  <si>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</si>
  <si>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</si>
  <si>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</si>
  <si>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</si>
  <si>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</si>
  <si>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</si>
  <si>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</si>
  <si>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</si>
  <si>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</si>
  <si>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</si>
  <si>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</si>
  <si>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</si>
  <si>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</si>
  <si>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</si>
  <si>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</si>
  <si>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</si>
  <si>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</si>
  <si>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</si>
  <si>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</si>
  <si>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</si>
  <si>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</si>
  <si>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</si>
  <si>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</si>
  <si>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</si>
  <si>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</si>
  <si>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</si>
  <si>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</si>
  <si>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</si>
  <si>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</si>
  <si>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</si>
  <si>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</si>
  <si>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</si>
  <si>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</si>
  <si>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</si>
  <si>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</si>
  <si>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</si>
  <si>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</si>
  <si>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</si>
  <si>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</si>
  <si>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</si>
  <si>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</si>
  <si>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</si>
  <si>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</si>
  <si>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</si>
  <si>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</si>
  <si>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</si>
  <si>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</si>
  <si>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</si>
  <si>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</si>
  <si>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</si>
  <si>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</si>
  <si>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</si>
  <si>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</si>
  <si>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</si>
  <si>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</si>
  <si>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</si>
  <si>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</si>
  <si>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</si>
  <si>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</si>
  <si>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</si>
  <si>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</si>
  <si>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</si>
  <si>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</si>
  <si>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</si>
  <si>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</si>
  <si>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</si>
  <si>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</si>
  <si>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</si>
  <si>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</si>
  <si>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</si>
  <si>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</si>
  <si>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</si>
  <si>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</si>
  <si>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</si>
  <si>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</si>
  <si>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</si>
  <si>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</si>
  <si>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</si>
  <si>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</si>
  <si>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</si>
  <si>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</si>
  <si>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</si>
  <si>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</si>
  <si>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</si>
  <si>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</si>
  <si>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</si>
  <si>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</si>
  <si>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</si>
  <si>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</si>
  <si>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</si>
  <si>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</si>
  <si>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</si>
  <si>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</si>
  <si>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</si>
  <si>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</si>
  <si>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</si>
  <si>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</si>
  <si>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</si>
  <si>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</si>
  <si>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</si>
  <si>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</si>
  <si>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</si>
  <si>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</si>
  <si>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</si>
  <si>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</si>
  <si>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</si>
  <si>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</si>
  <si>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</si>
  <si>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</si>
  <si>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</si>
  <si>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</si>
  <si>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</si>
  <si>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</si>
  <si>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</si>
  <si>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</si>
  <si>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</si>
  <si>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</si>
  <si>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</si>
  <si>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</si>
  <si>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</si>
  <si>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</si>
  <si>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</si>
  <si>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</si>
  <si>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</si>
  <si>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</si>
  <si>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</si>
  <si>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</si>
  <si>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</si>
  <si>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</si>
  <si>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</si>
  <si>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</si>
  <si>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</si>
  <si>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</si>
  <si>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</si>
  <si>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</si>
  <si>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</si>
  <si>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</si>
  <si>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</si>
  <si>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</si>
  <si>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</si>
  <si>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</si>
  <si>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</si>
  <si>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</si>
  <si>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</si>
  <si>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</si>
  <si>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</si>
  <si>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</si>
  <si>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</si>
  <si>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</si>
  <si>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</si>
  <si>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</si>
  <si>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</si>
  <si>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</si>
  <si>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</si>
  <si>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</si>
  <si>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</si>
  <si>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</si>
  <si>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</si>
  <si>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</si>
  <si>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</si>
  <si>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</si>
  <si>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</si>
  <si>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</si>
  <si>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</si>
  <si>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</si>
  <si>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</si>
  <si>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</si>
  <si>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</si>
  <si>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</si>
  <si>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</si>
  <si>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</si>
  <si>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</si>
  <si>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</si>
  <si>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</si>
  <si>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</si>
  <si>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</si>
  <si>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</si>
  <si>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</si>
  <si>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</si>
  <si>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</si>
  <si>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</si>
  <si>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</si>
  <si>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</si>
  <si>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</si>
  <si>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</si>
  <si>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</si>
  <si>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</si>
  <si>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</si>
  <si>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</si>
  <si>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</si>
  <si>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</si>
  <si>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</si>
  <si>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</si>
  <si>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</si>
  <si>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</si>
  <si>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</si>
  <si>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</si>
  <si>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</si>
  <si>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</si>
  <si>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</si>
  <si>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</si>
  <si>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</si>
  <si>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</si>
  <si>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</si>
  <si>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</si>
  <si>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</si>
  <si>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</si>
  <si>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</si>
  <si>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</si>
  <si>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</si>
  <si>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</si>
  <si>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</si>
  <si>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</si>
  <si>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</si>
  <si>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</si>
  <si>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</si>
  <si>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</si>
  <si>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</si>
  <si>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</si>
  <si>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</si>
  <si>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</si>
  <si>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</si>
  <si>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</si>
  <si>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</si>
  <si>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</si>
  <si>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</si>
  <si>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</si>
  <si>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</si>
  <si>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</si>
  <si>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</si>
  <si>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</si>
  <si>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</si>
  <si>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</si>
  <si>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</si>
  <si>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</si>
  <si>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</si>
  <si>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</si>
  <si>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</si>
  <si>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</si>
  <si>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</si>
  <si>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</si>
  <si>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</si>
  <si>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</si>
  <si>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</si>
  <si>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</si>
  <si>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</si>
  <si>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</si>
  <si>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</si>
  <si>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</si>
  <si>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</si>
  <si>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</si>
  <si>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</si>
  <si>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</si>
  <si>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</si>
  <si>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</si>
  <si>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</si>
  <si>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</si>
  <si>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</si>
  <si>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</si>
  <si>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</si>
  <si>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</si>
  <si>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</si>
  <si>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</si>
  <si>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</si>
  <si>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</si>
  <si>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</si>
  <si>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</si>
  <si>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</si>
  <si>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</si>
  <si>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</si>
  <si>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</si>
  <si>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</si>
  <si>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</si>
  <si>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</si>
  <si>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</si>
  <si>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</si>
  <si>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</si>
  <si>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</si>
  <si>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</si>
  <si>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</si>
  <si>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</si>
  <si>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</si>
  <si>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</si>
  <si>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</si>
  <si>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</si>
  <si>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</si>
  <si>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</si>
  <si>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</si>
  <si>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</si>
  <si>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</si>
  <si>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</si>
  <si>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</si>
  <si>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</si>
  <si>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</si>
  <si>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</si>
  <si>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</si>
  <si>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</si>
  <si>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</si>
  <si>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</si>
  <si>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</si>
  <si>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</si>
  <si>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</si>
  <si>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</si>
  <si>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</si>
  <si>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</si>
  <si>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</si>
  <si>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</si>
  <si>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</si>
  <si>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</si>
  <si>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</si>
  <si>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</si>
  <si>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</si>
  <si>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</si>
  <si>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</si>
  <si>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</si>
  <si>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</si>
  <si>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</si>
  <si>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</si>
  <si>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</si>
  <si>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</si>
  <si>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</si>
  <si>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</si>
  <si>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</si>
  <si>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</si>
  <si>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</si>
  <si>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</si>
  <si>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</si>
  <si>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</si>
  <si>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</si>
  <si>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</si>
  <si>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</si>
  <si>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</si>
  <si>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</si>
  <si>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</si>
  <si>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</si>
  <si>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</si>
  <si>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</si>
  <si>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</si>
  <si>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</si>
  <si>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</si>
  <si>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</si>
  <si>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</si>
  <si>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</si>
  <si>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</si>
  <si>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</si>
  <si>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</si>
  <si>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</si>
  <si>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</si>
  <si>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</si>
  <si>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</si>
  <si>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</si>
  <si>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</si>
  <si>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</si>
  <si>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</si>
  <si>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</si>
  <si>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</si>
  <si>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</si>
  <si>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</si>
  <si>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</si>
  <si>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</si>
  <si>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</si>
  <si>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</si>
  <si>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</si>
  <si>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</si>
  <si>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</si>
  <si>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</si>
  <si>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</si>
  <si>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</si>
  <si>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</si>
  <si>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</si>
  <si>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</si>
  <si>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</si>
  <si>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</si>
  <si>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</si>
  <si>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</si>
  <si>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</si>
  <si>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</si>
  <si>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</si>
  <si>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</si>
  <si>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</si>
  <si>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</si>
  <si>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</si>
  <si>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</si>
  <si>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</si>
  <si>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</si>
  <si>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</si>
  <si>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</si>
  <si>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</si>
  <si>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</si>
  <si>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</si>
  <si>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</si>
  <si>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</si>
  <si>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</si>
  <si>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</si>
  <si>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</si>
  <si>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</si>
  <si>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</si>
  <si>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</si>
  <si>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</si>
  <si>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</si>
  <si>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</si>
  <si>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</si>
  <si>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</si>
  <si>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</si>
  <si>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</si>
  <si>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</si>
  <si>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</si>
  <si>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</si>
  <si>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</si>
  <si>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</si>
  <si>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</si>
  <si>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</si>
  <si>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</si>
  <si>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</si>
  <si>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</si>
  <si>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</si>
  <si>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</si>
  <si>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</si>
  <si>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</si>
  <si>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</si>
  <si>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</si>
  <si>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</si>
  <si>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</si>
  <si>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</si>
  <si>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</si>
  <si>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</si>
  <si>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</si>
  <si>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</si>
  <si>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</si>
  <si>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</si>
  <si>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</si>
  <si>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</si>
  <si>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</si>
  <si>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</si>
  <si>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</si>
  <si>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</si>
  <si>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</si>
  <si>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</si>
  <si>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</si>
  <si>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</si>
  <si>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</si>
  <si>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</si>
  <si>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</si>
  <si>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</si>
  <si>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</si>
  <si>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</si>
  <si>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</si>
  <si>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</si>
  <si>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</si>
  <si>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</si>
  <si>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</si>
  <si>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</si>
  <si>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</si>
  <si>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</si>
  <si>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</si>
  <si>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</si>
  <si>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</si>
  <si>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</si>
  <si>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</si>
  <si>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</si>
  <si>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</si>
  <si>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</si>
  <si>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</si>
  <si>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</si>
  <si>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</si>
  <si>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</si>
  <si>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</si>
  <si>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</si>
  <si>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</si>
  <si>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</si>
  <si>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</si>
  <si>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</si>
  <si>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</si>
  <si>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</si>
  <si>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</si>
  <si>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</si>
  <si>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</si>
  <si>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</si>
  <si>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</si>
  <si>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</si>
  <si>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</si>
  <si>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</si>
  <si>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</si>
  <si>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</si>
  <si>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</si>
  <si>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</si>
  <si>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</si>
  <si>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</si>
  <si>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</si>
  <si>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</si>
  <si>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</si>
  <si>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</si>
  <si>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</si>
  <si>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</si>
  <si>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</si>
  <si>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</si>
  <si>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</si>
  <si>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</si>
  <si>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</si>
  <si>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</si>
  <si>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</si>
  <si>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</si>
  <si>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</si>
  <si>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</si>
  <si>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</si>
  <si>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</si>
  <si>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</si>
  <si>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</si>
  <si>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</si>
  <si>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</si>
  <si>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</si>
  <si>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</si>
  <si>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</si>
  <si>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</si>
  <si>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</si>
  <si>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</si>
  <si>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</si>
  <si>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</si>
  <si>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</si>
  <si>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</si>
  <si>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</si>
  <si>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</si>
  <si>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</si>
  <si>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</si>
  <si>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</si>
  <si>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</si>
  <si>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</si>
  <si>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</si>
  <si>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</si>
  <si>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</si>
  <si>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</si>
  <si>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</si>
  <si>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</si>
  <si>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</si>
  <si>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</si>
  <si>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</si>
  <si>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</si>
  <si>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</si>
  <si>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</si>
  <si>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</si>
  <si>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</si>
  <si>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</si>
  <si>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</si>
  <si>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</si>
  <si>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</si>
  <si>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</si>
  <si>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</si>
  <si>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</si>
  <si>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</si>
  <si>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</si>
  <si>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</si>
  <si>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</si>
  <si>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</si>
  <si>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</si>
  <si>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</si>
  <si>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</si>
  <si>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</si>
  <si>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</si>
  <si>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</si>
  <si>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</si>
  <si>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</si>
  <si>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</si>
  <si>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</si>
  <si>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</si>
  <si>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</si>
  <si>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</si>
  <si>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</si>
  <si>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</si>
  <si>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</si>
  <si>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</si>
  <si>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</si>
  <si>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</si>
  <si>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</si>
  <si>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</si>
  <si>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</si>
  <si>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</si>
  <si>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</si>
  <si>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</si>
  <si>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</si>
  <si>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</si>
  <si>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</si>
  <si>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</si>
  <si>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</si>
  <si>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</si>
  <si>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</si>
  <si>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</si>
  <si>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</si>
  <si>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</si>
  <si>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</si>
  <si>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</si>
  <si>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</si>
  <si>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</si>
  <si>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</si>
  <si>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</si>
  <si>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</si>
  <si>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</si>
  <si>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</si>
  <si>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</si>
  <si>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</si>
  <si>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</si>
  <si>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</si>
  <si>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</si>
  <si>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</si>
  <si>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</si>
  <si>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</si>
  <si>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</si>
  <si>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</si>
  <si>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</si>
  <si>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</si>
  <si>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</si>
  <si>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</si>
  <si>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</si>
  <si>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</si>
  <si>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</si>
  <si>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</si>
  <si>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</si>
  <si>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</si>
  <si>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</si>
  <si>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</si>
  <si>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</si>
  <si>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</si>
  <si>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</si>
  <si>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</si>
  <si>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</si>
  <si>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</si>
  <si>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</si>
  <si>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</si>
  <si>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</si>
  <si>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</si>
  <si>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</si>
  <si>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</si>
  <si>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</si>
  <si>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</si>
  <si>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</si>
  <si>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</si>
  <si>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</si>
  <si>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</si>
  <si>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</si>
  <si>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</si>
  <si>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</si>
  <si>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</si>
  <si>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</si>
  <si>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</si>
  <si>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</si>
  <si>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</si>
  <si>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</si>
  <si>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</si>
  <si>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</si>
  <si>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</si>
  <si>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</si>
  <si>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</si>
  <si>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</si>
  <si>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</si>
  <si>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</si>
  <si>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</si>
  <si>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</si>
  <si>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</si>
  <si>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</si>
  <si>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</si>
  <si>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</si>
  <si>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</si>
  <si>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</si>
  <si>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</si>
  <si>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</si>
  <si>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</si>
  <si>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</si>
  <si>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</si>
  <si>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</si>
  <si>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</si>
  <si>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</si>
  <si>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</si>
  <si>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</si>
  <si>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</si>
  <si>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</si>
  <si>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</si>
  <si>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</si>
  <si>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</si>
  <si>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</si>
  <si>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</si>
  <si>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</si>
  <si>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</si>
  <si>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</si>
  <si>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</si>
  <si>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</si>
  <si>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</si>
  <si>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</si>
  <si>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</si>
  <si>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</si>
  <si>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</si>
  <si>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</si>
  <si>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</si>
  <si>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</si>
  <si>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</si>
  <si>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</si>
  <si>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</si>
  <si>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</si>
  <si>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</si>
  <si>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</si>
  <si>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</si>
  <si>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</si>
  <si>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</si>
  <si>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</si>
  <si>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</si>
  <si>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</si>
  <si>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</si>
  <si>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</si>
  <si>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</si>
  <si>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</si>
  <si>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</si>
  <si>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</si>
  <si>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</si>
  <si>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</si>
  <si>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</si>
  <si>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</si>
  <si>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</si>
  <si>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</si>
  <si>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</si>
  <si>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</si>
  <si>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</si>
  <si>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</si>
  <si>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</si>
  <si>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</si>
  <si>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</si>
  <si>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</si>
  <si>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</si>
  <si>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</si>
  <si>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</si>
  <si>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</si>
  <si>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</si>
  <si>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</si>
  <si>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</si>
  <si>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</si>
  <si>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</si>
  <si>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</si>
  <si>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</si>
  <si>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</si>
  <si>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</si>
  <si>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</si>
  <si>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</si>
  <si>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</si>
  <si>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</si>
  <si>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</si>
  <si>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</si>
  <si>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</si>
  <si>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</si>
  <si>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</si>
  <si>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</si>
  <si>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</si>
  <si>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</si>
  <si>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</si>
  <si>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</si>
  <si>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</si>
  <si>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</si>
  <si>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</si>
  <si>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</si>
  <si>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</si>
  <si>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</si>
  <si>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</si>
  <si>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</si>
  <si>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</si>
  <si>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</si>
  <si>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</si>
  <si>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</si>
  <si>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</si>
  <si>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</si>
  <si>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</si>
  <si>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</si>
  <si>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</si>
  <si>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</si>
  <si>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</si>
  <si>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</si>
  <si>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</si>
  <si>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</si>
  <si>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</si>
  <si>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</si>
  <si>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</si>
  <si>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</si>
  <si>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</si>
  <si>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</si>
  <si>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</si>
  <si>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</si>
  <si>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</si>
  <si>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</si>
  <si>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</si>
  <si>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</si>
  <si>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</si>
  <si>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</si>
  <si>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</si>
  <si>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</si>
  <si>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</si>
  <si>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</si>
  <si>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</si>
  <si>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</si>
  <si>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</si>
  <si>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</si>
  <si>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</si>
  <si>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</si>
  <si>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</si>
  <si>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</si>
  <si>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</si>
  <si>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</si>
  <si>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</si>
  <si>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</si>
  <si>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</si>
  <si>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</si>
  <si>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</si>
  <si>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</si>
  <si>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</si>
  <si>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</si>
  <si>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</si>
  <si>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</si>
  <si>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</si>
  <si>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</si>
  <si>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</si>
  <si>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</si>
  <si>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</si>
  <si>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</si>
  <si>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</si>
  <si>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</si>
  <si>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</si>
  <si>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</si>
  <si>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</si>
  <si>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</si>
  <si>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</si>
  <si>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</si>
  <si>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</si>
  <si>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</si>
  <si>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</si>
  <si>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</si>
  <si>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</si>
  <si>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</si>
  <si>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</si>
  <si>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</si>
  <si>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</si>
  <si>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</si>
  <si>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</si>
  <si>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</si>
  <si>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</si>
  <si>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</si>
  <si>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</si>
  <si>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</si>
  <si>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</si>
  <si>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</si>
  <si>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</si>
  <si>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</si>
  <si>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</si>
  <si>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</si>
  <si>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</si>
  <si>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</si>
  <si>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</si>
  <si>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</si>
  <si>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</si>
  <si>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</si>
  <si>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</si>
  <si>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</si>
  <si>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</si>
  <si>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</si>
  <si>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</si>
  <si>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</si>
  <si>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</si>
  <si>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</si>
  <si>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</si>
  <si>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</si>
  <si>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</si>
  <si>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</si>
  <si>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</si>
  <si>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</si>
  <si>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</si>
  <si>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</si>
  <si>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</si>
  <si>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</si>
  <si>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</si>
  <si>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</si>
  <si>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</si>
  <si>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</si>
  <si>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</si>
  <si>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</si>
  <si>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</si>
  <si>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</si>
  <si>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</si>
  <si>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</si>
  <si>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</si>
  <si>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</si>
  <si>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</si>
  <si>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</si>
  <si>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</si>
  <si>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</si>
  <si>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</si>
  <si>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</si>
  <si>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</si>
  <si>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</si>
  <si>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</si>
  <si>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</si>
  <si>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</si>
  <si>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</si>
  <si>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</si>
  <si>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</si>
  <si>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</si>
  <si>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</si>
  <si>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</si>
  <si>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</si>
  <si>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</si>
  <si>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</si>
  <si>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</si>
  <si>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</si>
  <si>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</si>
  <si>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</si>
  <si>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</si>
  <si>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</si>
  <si>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</si>
  <si>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</si>
  <si>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</si>
  <si>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</si>
  <si>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</si>
  <si>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</si>
  <si>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</si>
  <si>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</si>
  <si>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</si>
  <si>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</si>
  <si>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</si>
  <si>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</si>
  <si>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</si>
  <si>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</si>
  <si>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</si>
  <si>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</si>
  <si>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</si>
  <si>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</si>
  <si>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</si>
  <si>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</si>
  <si>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</si>
  <si>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</si>
  <si>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</si>
  <si>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</si>
  <si>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</si>
  <si>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</si>
  <si>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</si>
  <si>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</si>
  <si>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</si>
  <si>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</si>
  <si>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</si>
  <si>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</si>
  <si>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</si>
  <si>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</si>
  <si>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</si>
  <si>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</si>
  <si>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</si>
  <si>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</si>
  <si>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</si>
  <si>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</si>
  <si>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</si>
  <si>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</si>
  <si>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</si>
  <si>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</si>
  <si>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</si>
  <si>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</si>
  <si>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</si>
  <si>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</si>
  <si>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</si>
  <si>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</si>
  <si>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</si>
  <si>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</si>
  <si>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</si>
  <si>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</si>
  <si>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</si>
  <si>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</si>
  <si>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</si>
  <si>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</si>
  <si>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</si>
  <si>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</si>
  <si>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</si>
  <si>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</si>
  <si>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</si>
  <si>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</si>
  <si>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</si>
  <si>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</si>
  <si>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</si>
  <si>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</si>
  <si>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</si>
  <si>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</si>
  <si>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</si>
  <si>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</si>
  <si>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</si>
  <si>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</si>
  <si>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</si>
  <si>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</si>
  <si>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</si>
  <si>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</si>
  <si>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</si>
  <si>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</si>
  <si>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</si>
  <si>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</si>
  <si>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</si>
  <si>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</si>
  <si>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</si>
  <si>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</si>
  <si>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</si>
  <si>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</si>
  <si>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</si>
  <si>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</si>
  <si>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</si>
  <si>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</si>
  <si>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</si>
  <si>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</si>
  <si>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</si>
  <si>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</si>
  <si>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</si>
  <si>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</si>
  <si>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</si>
  <si>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</si>
  <si>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</si>
  <si>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</si>
  <si>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</si>
  <si>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</si>
  <si>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</si>
  <si>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</si>
  <si>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</si>
  <si>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</si>
  <si>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</si>
  <si>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</si>
  <si>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</si>
  <si>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</si>
  <si>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</si>
  <si>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</si>
  <si>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</si>
  <si>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</si>
  <si>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</si>
  <si>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</si>
  <si>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</si>
  <si>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</si>
  <si>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</si>
  <si>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</si>
  <si>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</si>
  <si>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</si>
  <si>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</si>
  <si>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</si>
  <si>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</si>
  <si>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</si>
  <si>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</si>
  <si>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</si>
  <si>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</si>
  <si>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</si>
  <si>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</si>
  <si>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</si>
  <si>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</si>
  <si>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</si>
  <si>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</si>
  <si>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</si>
  <si>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</si>
  <si>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</si>
  <si>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</si>
  <si>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</si>
  <si>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</si>
  <si>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</si>
  <si>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</si>
  <si>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</si>
  <si>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</si>
  <si>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</si>
  <si>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</si>
  <si>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</si>
  <si>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</si>
  <si>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</si>
  <si>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</si>
  <si>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</si>
  <si>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</si>
  <si>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</si>
  <si>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</si>
  <si>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</si>
  <si>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</si>
  <si>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</si>
  <si>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</si>
  <si>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</si>
  <si>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</si>
  <si>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</si>
  <si>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</si>
  <si>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</si>
  <si>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</si>
  <si>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</si>
  <si>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</si>
  <si>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</si>
  <si>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</si>
  <si>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</si>
  <si>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</si>
  <si>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</si>
  <si>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</si>
  <si>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</si>
  <si>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</si>
  <si>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</si>
  <si>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</si>
  <si>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</si>
  <si>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</si>
  <si>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</si>
  <si>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</si>
  <si>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</si>
  <si>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</si>
  <si>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</si>
  <si>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</si>
  <si>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</si>
  <si>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</si>
  <si>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</si>
  <si>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</si>
  <si>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</si>
  <si>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</si>
  <si>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</si>
  <si>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</si>
  <si>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</si>
  <si>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</si>
  <si>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</si>
  <si>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</si>
  <si>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</si>
  <si>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</si>
  <si>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</si>
  <si>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</si>
  <si>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</si>
  <si>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</si>
  <si>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</si>
  <si>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</si>
  <si>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</si>
  <si>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</si>
  <si>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</si>
  <si>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</si>
  <si>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</si>
  <si>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</si>
  <si>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</si>
  <si>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</si>
  <si>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</si>
  <si>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</si>
  <si>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</si>
  <si>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</si>
  <si>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</si>
  <si>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</si>
  <si>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</si>
  <si>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</si>
  <si>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</si>
  <si>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</si>
  <si>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</si>
  <si>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</si>
  <si>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</si>
  <si>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</si>
  <si>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</si>
  <si>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</si>
  <si>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</si>
  <si>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</si>
  <si>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</si>
  <si>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</si>
  <si>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</si>
  <si>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</si>
  <si>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</si>
  <si>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</si>
  <si>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</si>
  <si>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</si>
  <si>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</si>
  <si>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</si>
  <si>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</si>
  <si>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</si>
  <si>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</si>
  <si>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</si>
  <si>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</si>
  <si>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</si>
  <si>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</si>
  <si>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</si>
  <si>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</si>
  <si>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</si>
  <si>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</si>
  <si>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</si>
  <si>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</si>
  <si>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</si>
  <si>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</si>
  <si>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</si>
  <si>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</si>
  <si>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</si>
  <si>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</si>
  <si>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</si>
  <si>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</si>
  <si>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</si>
  <si>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</si>
  <si>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</si>
  <si>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</si>
  <si>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</si>
  <si>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</si>
  <si>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</si>
  <si>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</si>
  <si>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</si>
  <si>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</si>
  <si>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</si>
  <si>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</si>
  <si>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</si>
  <si>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</si>
  <si>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</si>
  <si>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</si>
  <si>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</si>
  <si>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</si>
  <si>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</si>
  <si>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</si>
  <si>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</si>
  <si>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</si>
  <si>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</si>
  <si>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</si>
  <si>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</si>
  <si>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</si>
  <si>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</si>
  <si>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</si>
  <si>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</si>
  <si>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</si>
  <si>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</si>
  <si>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</si>
  <si>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</si>
  <si>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</si>
  <si>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</si>
  <si>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</si>
  <si>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</si>
  <si>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</si>
  <si>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</si>
  <si>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</si>
  <si>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</si>
  <si>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</si>
  <si>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</si>
  <si>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</si>
  <si>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</si>
  <si>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</si>
  <si>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</si>
  <si>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</si>
  <si>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</si>
  <si>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</si>
  <si>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</si>
  <si>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</si>
  <si>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</si>
  <si>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</si>
  <si>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</si>
  <si>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</si>
  <si>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</si>
  <si>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</si>
  <si>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</si>
  <si>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</si>
  <si>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</si>
  <si>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</si>
  <si>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</si>
  <si>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</si>
  <si>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</si>
  <si>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</si>
  <si>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</si>
  <si>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</si>
  <si>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</si>
  <si>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</si>
  <si>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</si>
  <si>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</si>
  <si>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</si>
  <si>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</si>
  <si>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</si>
  <si>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</si>
  <si>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</si>
  <si>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</si>
  <si>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</si>
  <si>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</si>
  <si>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</si>
  <si>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</si>
  <si>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</si>
  <si>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</si>
  <si>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</si>
  <si>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</si>
  <si>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</si>
  <si>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</si>
  <si>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</si>
  <si>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</si>
  <si>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</si>
  <si>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</si>
  <si>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</si>
  <si>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</si>
  <si>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</si>
  <si>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</si>
  <si>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</si>
  <si>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</si>
  <si>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</si>
  <si>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</si>
  <si>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</si>
  <si>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</si>
  <si>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</si>
  <si>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</si>
  <si>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</si>
  <si>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</si>
  <si>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</si>
  <si>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</si>
  <si>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</si>
  <si>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</si>
  <si>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</si>
  <si>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</si>
  <si>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</si>
  <si>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</si>
  <si>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</si>
  <si>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</si>
  <si>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</si>
  <si>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</si>
  <si>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</si>
  <si>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</si>
  <si>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</si>
  <si>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</si>
  <si>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</si>
  <si>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</si>
  <si>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</si>
  <si>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</si>
  <si>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</si>
  <si>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</si>
  <si>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</si>
  <si>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</si>
  <si>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</si>
  <si>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</si>
  <si>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</si>
  <si>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</si>
  <si>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</si>
  <si>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</si>
  <si>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</si>
  <si>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</si>
  <si>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</si>
  <si>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</si>
  <si>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</si>
  <si>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</si>
  <si>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</si>
  <si>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</si>
  <si>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</si>
  <si>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</si>
  <si>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</si>
  <si>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</si>
  <si>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</si>
  <si>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</si>
  <si>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</si>
  <si>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</si>
  <si>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</si>
  <si>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</si>
  <si>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</si>
  <si>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</si>
  <si>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</si>
  <si>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</si>
  <si>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</si>
  <si>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</si>
  <si>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</si>
  <si>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</si>
  <si>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</si>
  <si>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</si>
  <si>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</si>
  <si>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</si>
  <si>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</si>
  <si>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</si>
  <si>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</si>
  <si>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</si>
  <si>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</si>
  <si>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</si>
  <si>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</si>
  <si>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</si>
  <si>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</si>
  <si>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</si>
  <si>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</si>
  <si>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</si>
  <si>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</si>
  <si>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</si>
  <si>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</si>
  <si>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</si>
  <si>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</si>
  <si>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</si>
  <si>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</si>
  <si>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</si>
  <si>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</si>
  <si>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</si>
  <si>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</si>
  <si>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</si>
  <si>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</si>
  <si>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</si>
  <si>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</si>
  <si>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</si>
  <si>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</si>
  <si>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</si>
  <si>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</si>
  <si>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</si>
  <si>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</si>
  <si>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</si>
  <si>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</si>
  <si>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</si>
  <si>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</si>
  <si>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</si>
  <si>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</si>
  <si>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</si>
  <si>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</si>
  <si>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</si>
  <si>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</si>
  <si>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</si>
  <si>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</si>
  <si>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</si>
  <si>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</si>
  <si>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</si>
  <si>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</si>
  <si>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</si>
  <si>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</si>
  <si>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</si>
  <si>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</si>
  <si>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</si>
  <si>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</si>
  <si>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</si>
  <si>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</si>
  <si>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</si>
  <si>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</si>
  <si>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</si>
  <si>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</si>
  <si>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</si>
  <si>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</si>
  <si>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</si>
  <si>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</si>
  <si>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</si>
  <si>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</si>
  <si>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</si>
  <si>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</si>
  <si>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</si>
  <si>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</si>
  <si>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</si>
  <si>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</si>
  <si>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</si>
  <si>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</si>
  <si>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</si>
  <si>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</si>
  <si>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</si>
  <si>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</si>
  <si>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</si>
  <si>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</si>
  <si>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</si>
  <si>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</si>
  <si>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</si>
  <si>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</si>
  <si>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</si>
  <si>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</si>
  <si>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</si>
  <si>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</si>
  <si>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</si>
  <si>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</si>
  <si>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</si>
  <si>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</si>
  <si>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</si>
  <si>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</si>
  <si>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</si>
  <si>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</si>
  <si>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</si>
  <si>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</si>
  <si>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</si>
  <si>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</si>
  <si>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</si>
  <si>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</si>
  <si>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</si>
  <si>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</si>
  <si>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</si>
  <si>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</si>
  <si>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</si>
  <si>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</si>
  <si>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</si>
  <si>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</si>
  <si>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</si>
  <si>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</si>
  <si>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</si>
  <si>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</si>
  <si>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</si>
  <si>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</si>
  <si>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</si>
  <si>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</si>
  <si>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</si>
  <si>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</si>
  <si>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</si>
  <si>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</si>
  <si>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</si>
  <si>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</si>
  <si>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</si>
  <si>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</si>
  <si>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</si>
  <si>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</si>
  <si>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</si>
  <si>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</si>
  <si>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</si>
  <si>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</si>
  <si>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</si>
  <si>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</si>
  <si>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</si>
  <si>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</si>
  <si>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</si>
  <si>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</si>
  <si>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</si>
  <si>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</si>
  <si>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</si>
  <si>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</si>
  <si>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</si>
  <si>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</si>
  <si>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</si>
  <si>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</si>
  <si>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</si>
  <si>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</si>
  <si>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</si>
  <si>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</si>
  <si>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</si>
  <si>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</si>
  <si>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</si>
  <si>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</si>
  <si>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</si>
  <si>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</si>
  <si>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</si>
  <si>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</si>
  <si>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</si>
  <si>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</si>
  <si>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</si>
  <si>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</si>
  <si>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</si>
  <si>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</si>
  <si>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</si>
  <si>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</si>
  <si>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</si>
  <si>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</si>
  <si>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</si>
  <si>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</si>
  <si>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</si>
  <si>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</si>
  <si>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</si>
  <si>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</si>
  <si>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</si>
  <si>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</si>
  <si>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</si>
  <si>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</si>
  <si>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</si>
  <si>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</si>
  <si>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</si>
  <si>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</si>
  <si>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</si>
  <si>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</si>
  <si>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</si>
  <si>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</si>
  <si>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</si>
  <si>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</si>
  <si>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</si>
  <si>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</si>
  <si>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</si>
  <si>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</si>
  <si>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</si>
  <si>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</si>
  <si>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</si>
  <si>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</si>
  <si>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</si>
  <si>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</si>
  <si>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</si>
  <si>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</si>
  <si>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</si>
  <si>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</si>
  <si>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</si>
  <si>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</si>
  <si>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</si>
  <si>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</si>
  <si>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</si>
  <si>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</si>
  <si>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</si>
  <si>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</si>
  <si>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</si>
  <si>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</si>
  <si>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</si>
  <si>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</si>
  <si>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</si>
  <si>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</si>
  <si>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</si>
  <si>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</si>
  <si>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</si>
  <si>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</si>
  <si>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</si>
  <si>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</si>
  <si>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</si>
  <si>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</si>
  <si>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</si>
  <si>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</si>
  <si>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</si>
  <si>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</si>
  <si>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</si>
  <si>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</si>
  <si>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</si>
  <si>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</si>
  <si>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</si>
  <si>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</si>
  <si>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</si>
  <si>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</si>
  <si>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</si>
  <si>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</si>
  <si>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</si>
  <si>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</si>
  <si>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</si>
  <si>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</si>
  <si>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</si>
  <si>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</si>
  <si>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</si>
  <si>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</si>
  <si>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</si>
  <si>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</si>
  <si>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</si>
  <si>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</si>
  <si>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</si>
  <si>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</si>
  <si>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</si>
  <si>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</si>
  <si>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</si>
  <si>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</si>
  <si>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</si>
  <si>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</si>
  <si>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</si>
  <si>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</si>
  <si>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</si>
  <si>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</si>
  <si>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</si>
  <si>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</si>
  <si>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</si>
  <si>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</si>
  <si>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</si>
  <si>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</si>
  <si>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</si>
  <si>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</si>
  <si>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</si>
  <si>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</si>
  <si>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</si>
  <si>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</si>
  <si>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</si>
  <si>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</si>
  <si>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</si>
  <si>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</si>
  <si>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</si>
  <si>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</si>
  <si>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</si>
  <si>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</si>
  <si>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</si>
  <si>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</si>
  <si>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</si>
  <si>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</si>
  <si>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</si>
  <si>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</si>
  <si>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</si>
  <si>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</si>
  <si>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</si>
  <si>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</si>
  <si>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</si>
  <si>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</si>
  <si>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</si>
  <si>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</si>
  <si>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</si>
  <si>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</si>
  <si>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</si>
  <si>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</si>
  <si>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</si>
  <si>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</si>
  <si>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</si>
  <si>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</si>
  <si>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</si>
  <si>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</si>
  <si>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</si>
  <si>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</si>
  <si>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</si>
  <si>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</si>
  <si>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</si>
  <si>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</si>
  <si>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</si>
  <si>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</si>
  <si>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</si>
  <si>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</si>
  <si>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</si>
  <si>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</si>
  <si>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</si>
  <si>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</si>
  <si>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</si>
  <si>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</si>
  <si>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</si>
  <si>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</si>
  <si>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</si>
  <si>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</si>
  <si>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</si>
  <si>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</si>
  <si>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</si>
  <si>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</si>
  <si>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</si>
  <si>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</si>
  <si>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</si>
  <si>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</si>
  <si>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</si>
  <si>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</si>
  <si>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</si>
  <si>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</si>
  <si>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</si>
  <si>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</si>
  <si>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</si>
  <si>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</si>
  <si>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</si>
  <si>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</si>
  <si>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</si>
  <si>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</si>
  <si>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</si>
  <si>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</si>
  <si>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</si>
  <si>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</si>
  <si>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</si>
  <si>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</si>
  <si>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</si>
  <si>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</si>
  <si>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</si>
  <si>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</si>
  <si>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</si>
  <si>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</si>
  <si>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</si>
  <si>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</si>
  <si>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</si>
  <si>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</si>
  <si>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</si>
  <si>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</si>
  <si>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</si>
  <si>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</si>
  <si>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</si>
  <si>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</si>
  <si>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</si>
  <si>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</si>
  <si>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</si>
  <si>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</si>
  <si>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</si>
  <si>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</si>
  <si>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</si>
  <si>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</si>
  <si>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</si>
  <si>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</si>
  <si>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</si>
  <si>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</si>
  <si>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</si>
  <si>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</si>
  <si>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</si>
  <si>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</si>
  <si>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</si>
  <si>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</si>
  <si>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</si>
  <si>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</si>
  <si>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</si>
  <si>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</si>
  <si>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</si>
  <si>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</si>
  <si>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</si>
  <si>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</si>
  <si>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</si>
  <si>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</si>
  <si>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</si>
  <si>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</si>
  <si>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</si>
  <si>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</si>
  <si>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</si>
  <si>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</si>
  <si>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</si>
  <si>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</si>
  <si>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</si>
  <si>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</si>
  <si>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</si>
  <si>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</si>
  <si>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</si>
  <si>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</si>
  <si>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</si>
  <si>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</si>
  <si>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</si>
  <si>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</si>
  <si>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</si>
  <si>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</si>
  <si>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</si>
  <si>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</si>
  <si>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</si>
  <si>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</si>
  <si>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</si>
  <si>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</si>
  <si>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</si>
  <si>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</si>
  <si>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</si>
  <si>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</si>
  <si>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</si>
  <si>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</si>
  <si>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</si>
  <si>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</si>
  <si>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</si>
  <si>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</si>
  <si>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</si>
  <si>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</si>
  <si>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</si>
  <si>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</si>
  <si>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</si>
  <si>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</si>
  <si>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</si>
  <si>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</si>
  <si>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</si>
  <si>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</si>
  <si>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</si>
  <si>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</si>
  <si>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</si>
  <si>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</si>
  <si>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</si>
  <si>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</si>
  <si>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</si>
  <si>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</si>
  <si>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</si>
  <si>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</si>
  <si>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</si>
  <si>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</si>
  <si>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</si>
  <si>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</si>
  <si>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</si>
  <si>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</si>
  <si>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</si>
  <si>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</si>
  <si>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</si>
  <si>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</si>
  <si>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</si>
  <si>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</si>
  <si>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</si>
  <si>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</si>
  <si>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</si>
  <si>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</si>
  <si>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</si>
  <si>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</si>
  <si>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</si>
  <si>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</si>
  <si>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</si>
  <si>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</si>
  <si>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</si>
  <si>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</si>
  <si>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</si>
  <si>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</si>
  <si>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</si>
  <si>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</si>
  <si>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</si>
  <si>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</si>
  <si>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</si>
  <si>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</si>
  <si>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</si>
  <si>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</si>
  <si>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</si>
  <si>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</si>
  <si>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</si>
  <si>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</si>
  <si>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</si>
  <si>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</si>
  <si>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</si>
  <si>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</si>
  <si>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</si>
  <si>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</si>
  <si>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</si>
  <si>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</si>
  <si>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</si>
  <si>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</si>
  <si>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</si>
  <si>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</si>
  <si>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</si>
  <si>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</si>
  <si>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</si>
  <si>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</si>
  <si>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</si>
  <si>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</si>
  <si>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</si>
  <si>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</si>
  <si>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</si>
  <si>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</si>
  <si>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</si>
  <si>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</si>
  <si>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</si>
  <si>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</si>
  <si>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</si>
  <si>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</si>
  <si>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</si>
  <si>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</si>
  <si>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</si>
  <si>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</si>
  <si>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</si>
  <si>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</si>
  <si>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</si>
  <si>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</si>
  <si>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</si>
  <si>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</si>
  <si>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</si>
  <si>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</si>
  <si>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</si>
  <si>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</si>
  <si>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</si>
  <si>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</si>
  <si>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</si>
  <si>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</si>
  <si>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</si>
  <si>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</si>
  <si>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</si>
  <si>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</si>
  <si>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</si>
  <si>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</si>
  <si>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</si>
  <si>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</si>
  <si>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</si>
  <si>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</si>
  <si>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</si>
  <si>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</si>
  <si>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</si>
  <si>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</si>
  <si>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</si>
  <si>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</si>
  <si>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</si>
  <si>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</si>
  <si>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</si>
  <si>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</si>
  <si>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</si>
  <si>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</si>
  <si>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</si>
  <si>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</si>
  <si>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</si>
  <si>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</si>
  <si>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</si>
  <si>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</si>
  <si>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</si>
  <si>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</si>
  <si>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</si>
  <si>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</si>
  <si>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</si>
  <si>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</si>
  <si>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</si>
  <si>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</si>
  <si>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</si>
  <si>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</si>
  <si>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</si>
  <si>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</si>
  <si>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</si>
  <si>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</si>
  <si>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</si>
  <si>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</si>
  <si>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</si>
  <si>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</si>
  <si>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</si>
  <si>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</si>
  <si>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</si>
  <si>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</si>
  <si>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</si>
  <si>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</si>
  <si>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</si>
  <si>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</si>
  <si>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</si>
  <si>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</si>
  <si>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</si>
  <si>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</si>
  <si>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</si>
  <si>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</si>
  <si>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</si>
  <si>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</si>
  <si>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</si>
  <si>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</si>
  <si>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</si>
  <si>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</si>
  <si>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</si>
  <si>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</si>
  <si>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</si>
  <si>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</si>
  <si>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</si>
  <si>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</si>
  <si>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</si>
  <si>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</si>
  <si>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</si>
  <si>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</si>
  <si>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</si>
  <si>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</si>
  <si>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</si>
  <si>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</si>
  <si>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</si>
  <si>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</si>
  <si>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</si>
  <si>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</si>
  <si>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</si>
  <si>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</si>
  <si>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</si>
  <si>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</si>
  <si>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</si>
  <si>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</si>
  <si>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</si>
  <si>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</si>
  <si>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</si>
  <si>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</si>
  <si>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</si>
  <si>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</si>
  <si>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</si>
  <si>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</si>
  <si>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</si>
  <si>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</si>
  <si>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</si>
  <si>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</si>
  <si>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</si>
  <si>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</si>
  <si>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</si>
  <si>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</si>
  <si>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</si>
  <si>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</si>
  <si>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</si>
  <si>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</si>
  <si>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</si>
  <si>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</si>
  <si>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</si>
  <si>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</si>
  <si>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</si>
  <si>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</si>
  <si>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</si>
  <si>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</si>
  <si>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</si>
  <si>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</si>
  <si>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</si>
  <si>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</si>
  <si>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</si>
  <si>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</si>
  <si>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</si>
  <si>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</si>
  <si>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</si>
  <si>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</si>
  <si>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</si>
  <si>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</si>
  <si>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</si>
  <si>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</si>
  <si>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</si>
  <si>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</si>
  <si>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</si>
  <si>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</si>
  <si>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</si>
  <si>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</si>
  <si>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</si>
  <si>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</si>
  <si>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</si>
  <si>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</si>
  <si>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</si>
  <si>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</si>
  <si>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</si>
  <si>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</si>
  <si>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</si>
  <si>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</si>
  <si>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</si>
  <si>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</si>
  <si>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</si>
  <si>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</si>
  <si>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</si>
  <si>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</si>
  <si>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</si>
  <si>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</si>
  <si>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</si>
  <si>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</si>
  <si>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</si>
  <si>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</si>
  <si>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</si>
  <si>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</si>
  <si>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</si>
  <si>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</si>
  <si>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</si>
  <si>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</si>
  <si>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</si>
  <si>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</si>
  <si>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</si>
  <si>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</si>
  <si>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</si>
  <si>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</si>
  <si>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</si>
  <si>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</si>
  <si>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</si>
  <si>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</si>
  <si>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</si>
  <si>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</si>
  <si>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</si>
  <si>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</si>
  <si>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</si>
  <si>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</si>
  <si>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</si>
  <si>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</si>
  <si>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</si>
  <si>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</si>
  <si>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</si>
  <si>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</si>
  <si>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</si>
  <si>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</si>
  <si>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</si>
  <si>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</si>
  <si>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</si>
  <si>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</si>
  <si>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</si>
  <si>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</si>
  <si>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</si>
  <si>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</si>
  <si>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</si>
  <si>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</si>
  <si>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</si>
  <si>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</si>
  <si>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</si>
  <si>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</si>
  <si>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</si>
  <si>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</si>
  <si>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</si>
  <si>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</si>
  <si>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</si>
  <si>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</si>
  <si>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</si>
  <si>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</si>
  <si>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</si>
  <si>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</si>
  <si>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</si>
  <si>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</si>
  <si>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</si>
  <si>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</si>
  <si>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</si>
  <si>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</si>
  <si>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</si>
  <si>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</si>
  <si>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</si>
  <si>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</si>
  <si>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</si>
  <si>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</si>
  <si>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</si>
  <si>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</si>
  <si>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</si>
  <si>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</si>
  <si>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</si>
  <si>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</si>
  <si>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</si>
  <si>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</si>
  <si>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</si>
  <si>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</si>
  <si>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</si>
  <si>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</si>
  <si>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</si>
  <si>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</si>
  <si>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</si>
  <si>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</si>
  <si>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</si>
  <si>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</si>
  <si>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</si>
  <si>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</si>
  <si>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</si>
  <si>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</si>
  <si>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</si>
  <si>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</si>
  <si>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</si>
  <si>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</si>
  <si>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</si>
  <si>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</si>
  <si>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</si>
  <si>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</si>
  <si>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</si>
  <si>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</si>
  <si>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</si>
  <si>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</si>
  <si>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</si>
  <si>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</si>
  <si>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</si>
  <si>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</si>
  <si>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</si>
  <si>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</si>
  <si>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</si>
  <si>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</si>
  <si>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</si>
  <si>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</si>
  <si>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</si>
  <si>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</si>
  <si>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</si>
  <si>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</si>
  <si>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</si>
  <si>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</si>
  <si>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</si>
  <si>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</si>
  <si>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</si>
  <si>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</si>
  <si>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</si>
  <si>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</si>
  <si>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</si>
  <si>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</si>
  <si>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</si>
  <si>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</si>
  <si>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</si>
  <si>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</si>
  <si>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</si>
  <si>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</si>
  <si>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</si>
  <si>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</si>
  <si>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</si>
  <si>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</si>
  <si>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</si>
  <si>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</si>
  <si>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</si>
  <si>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</si>
  <si>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</si>
  <si>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</si>
  <si>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</si>
  <si>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</si>
  <si>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</si>
  <si>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</si>
  <si>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</si>
  <si>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</si>
  <si>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</si>
  <si>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</si>
  <si>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</si>
  <si>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</si>
  <si>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</si>
  <si>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</si>
  <si>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</si>
  <si>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</si>
  <si>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</si>
  <si>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</si>
  <si>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</si>
  <si>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</si>
  <si>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</si>
  <si>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</si>
  <si>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</si>
  <si>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</si>
  <si>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</si>
  <si>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</si>
  <si>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</si>
  <si>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</si>
  <si>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</si>
  <si>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</si>
  <si>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</si>
  <si>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</si>
  <si>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</si>
  <si>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</si>
  <si>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</si>
  <si>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</si>
  <si>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</si>
  <si>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</si>
  <si>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</si>
  <si>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</si>
  <si>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</si>
  <si>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</si>
  <si>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</si>
  <si>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</si>
  <si>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</si>
  <si>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</si>
  <si>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</si>
  <si>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</si>
  <si>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</si>
  <si>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</si>
  <si>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</si>
  <si>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</si>
  <si>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</si>
  <si>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</si>
  <si>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</si>
  <si>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</si>
  <si>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</si>
  <si>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</si>
  <si>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</si>
  <si>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</si>
  <si>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</si>
  <si>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</si>
  <si>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</si>
  <si>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</si>
  <si>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</si>
  <si>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</si>
  <si>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</si>
  <si>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</si>
  <si>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</si>
  <si>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</si>
  <si>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</si>
  <si>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</si>
  <si>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</si>
  <si>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</si>
  <si>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</si>
  <si>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</si>
  <si>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</si>
  <si>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</si>
  <si>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</si>
  <si>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</si>
  <si>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</si>
  <si>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</si>
  <si>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</si>
  <si>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</si>
  <si>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</si>
  <si>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</si>
  <si>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</si>
  <si>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</si>
  <si>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</si>
  <si>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</si>
  <si>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</si>
  <si>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</si>
  <si>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</si>
  <si>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</si>
  <si>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</si>
  <si>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</si>
  <si>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</si>
  <si>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</si>
  <si>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</si>
  <si>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</si>
  <si>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</si>
  <si>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</si>
  <si>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</si>
  <si>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</si>
  <si>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</si>
  <si>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</si>
  <si>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</si>
  <si>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</si>
  <si>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</si>
  <si>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</si>
  <si>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</si>
  <si>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</si>
  <si>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</si>
  <si>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</si>
  <si>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</si>
  <si>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</si>
  <si>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</si>
  <si>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</si>
  <si>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</si>
  <si>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</si>
  <si>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</si>
  <si>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</si>
  <si>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</si>
  <si>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</si>
  <si>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</si>
  <si>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</si>
  <si>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</si>
  <si>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</si>
  <si>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</si>
  <si>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</si>
  <si>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</si>
  <si>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</si>
  <si>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</si>
  <si>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</si>
  <si>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</si>
  <si>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</si>
  <si>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</si>
  <si>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</si>
  <si>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</si>
  <si>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</si>
  <si>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</si>
  <si>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</si>
  <si>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</si>
  <si>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</si>
  <si>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</si>
  <si>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</si>
  <si>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</si>
  <si>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</si>
  <si>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</si>
  <si>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</si>
  <si>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</si>
  <si>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</si>
  <si>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</si>
  <si>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</si>
  <si>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</si>
  <si>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</si>
  <si>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</si>
  <si>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</si>
  <si>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</si>
  <si>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</si>
  <si>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</si>
  <si>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</si>
  <si>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</si>
  <si>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</si>
  <si>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</si>
  <si>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</si>
  <si>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</si>
  <si>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</si>
  <si>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</si>
  <si>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</si>
  <si>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</si>
  <si>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</si>
  <si>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</si>
  <si>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</si>
  <si>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</si>
  <si>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</si>
  <si>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</si>
  <si>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</si>
  <si>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</si>
  <si>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</si>
  <si>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</si>
  <si>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</si>
  <si>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</si>
  <si>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</si>
  <si>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</si>
  <si>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</si>
  <si>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</si>
  <si>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</si>
  <si>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</si>
  <si>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</si>
  <si>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</si>
  <si>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</si>
  <si>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</si>
  <si>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</si>
  <si>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</si>
  <si>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</si>
  <si>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</si>
  <si>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</si>
  <si>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</si>
  <si>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</si>
  <si>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</si>
  <si>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</si>
  <si>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</si>
  <si>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</si>
  <si>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</si>
  <si>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</si>
  <si>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</si>
  <si>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</si>
  <si>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</si>
  <si>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</si>
  <si>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</si>
  <si>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</si>
  <si>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</si>
  <si>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</si>
  <si>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</si>
  <si>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</si>
  <si>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</si>
  <si>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</si>
  <si>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</si>
  <si>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</si>
  <si>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</si>
  <si>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</si>
  <si>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</si>
  <si>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</si>
  <si>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</si>
  <si>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</si>
  <si>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</si>
  <si>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</si>
  <si>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</si>
  <si>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</si>
  <si>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</si>
  <si>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</si>
  <si>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</si>
  <si>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</si>
  <si>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</si>
  <si>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</si>
  <si>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</si>
  <si>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</si>
  <si>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</si>
  <si>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</si>
  <si>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</si>
  <si>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</si>
  <si>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</si>
  <si>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</si>
  <si>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</si>
  <si>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</si>
  <si>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</si>
  <si>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</si>
  <si>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</si>
  <si>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</si>
  <si>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</si>
  <si>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</si>
  <si>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</si>
  <si>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</si>
  <si>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</si>
  <si>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</si>
  <si>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</si>
  <si>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</si>
  <si>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</si>
  <si>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</si>
  <si>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</si>
  <si>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</si>
  <si>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</si>
  <si>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</si>
  <si>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</si>
  <si>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</si>
  <si>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</si>
  <si>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</si>
  <si>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</si>
  <si>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</si>
  <si>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</si>
  <si>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</si>
  <si>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</si>
  <si>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</si>
  <si>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</si>
  <si>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</si>
  <si>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</si>
  <si>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</si>
  <si>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</si>
  <si>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</si>
  <si>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</si>
  <si>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</si>
  <si>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</si>
  <si>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</si>
  <si>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</si>
  <si>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</si>
  <si>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</si>
  <si>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</si>
  <si>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</si>
  <si>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</si>
  <si>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</si>
  <si>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</si>
  <si>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</si>
  <si>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</si>
  <si>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</si>
  <si>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</si>
  <si>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</si>
  <si>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</si>
  <si>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</si>
  <si>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</si>
  <si>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</si>
  <si>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</si>
  <si>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</si>
  <si>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</si>
  <si>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</si>
  <si>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</si>
  <si>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</si>
  <si>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</si>
  <si>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</si>
  <si>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</si>
  <si>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</si>
  <si>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</si>
  <si>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</si>
  <si>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</si>
  <si>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</si>
  <si>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</si>
  <si>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</si>
  <si>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</si>
  <si>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</si>
  <si>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</si>
  <si>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</si>
  <si>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</si>
  <si>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</si>
  <si>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</si>
  <si>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</si>
  <si>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</si>
  <si>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</si>
  <si>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</si>
  <si>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</si>
  <si>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</si>
  <si>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</si>
  <si>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</si>
  <si>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</si>
  <si>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</si>
  <si>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</si>
  <si>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</si>
  <si>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</si>
  <si>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</si>
  <si>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</si>
  <si>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</si>
  <si>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</si>
  <si>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</si>
  <si>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</si>
  <si>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</si>
  <si>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</si>
  <si>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</si>
  <si>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</si>
  <si>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</si>
  <si>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</si>
  <si>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</si>
  <si>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</si>
  <si>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</si>
  <si>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</si>
  <si>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</si>
  <si>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</si>
  <si>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</si>
  <si>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</si>
  <si>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</si>
  <si>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</si>
  <si>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</si>
  <si>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</si>
  <si>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</si>
  <si>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</si>
  <si>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</si>
  <si>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</si>
  <si>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</si>
  <si>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</si>
  <si>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</si>
  <si>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</si>
  <si>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</si>
  <si>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</si>
  <si>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</si>
  <si>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</si>
  <si>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</si>
  <si>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</si>
  <si>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</si>
  <si>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</si>
  <si>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</si>
  <si>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</si>
  <si>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</si>
  <si>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</si>
  <si>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</si>
  <si>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</si>
  <si>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</si>
  <si>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</si>
  <si>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</si>
  <si>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</si>
  <si>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</si>
  <si>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</si>
  <si>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</si>
  <si>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</si>
  <si>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</si>
  <si>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</si>
  <si>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</si>
  <si>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</si>
  <si>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</si>
  <si>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</si>
  <si>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</si>
  <si>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</si>
  <si>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</si>
  <si>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</si>
  <si>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</si>
  <si>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</si>
  <si>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</si>
  <si>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</si>
  <si>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</si>
  <si>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</si>
  <si>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</si>
  <si>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</si>
  <si>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</si>
  <si>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</si>
  <si>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</si>
  <si>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</si>
  <si>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</si>
  <si>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</si>
  <si>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</si>
  <si>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</si>
  <si>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</si>
  <si>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</si>
  <si>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</si>
  <si>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</si>
  <si>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</si>
  <si>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</si>
  <si>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</si>
  <si>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</si>
  <si>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</si>
  <si>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</si>
  <si>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</si>
  <si>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</si>
  <si>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</si>
  <si>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</si>
  <si>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</si>
  <si>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</si>
  <si>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</si>
  <si>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</si>
  <si>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</si>
  <si>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</si>
  <si>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</si>
  <si>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</si>
  <si>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</si>
  <si>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</si>
  <si>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</si>
  <si>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</si>
  <si>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</si>
  <si>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</si>
  <si>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</si>
  <si>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</si>
  <si>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</si>
  <si>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</si>
  <si>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</si>
  <si>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</si>
  <si>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</si>
  <si>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</si>
  <si>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</si>
  <si>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</si>
  <si>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</si>
  <si>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</si>
  <si>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</si>
  <si>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</si>
  <si>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</si>
  <si>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</si>
  <si>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</si>
  <si>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</si>
  <si>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</si>
  <si>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</si>
  <si>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</si>
  <si>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</si>
  <si>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</si>
  <si>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</si>
  <si>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</si>
  <si>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</si>
  <si>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</si>
  <si>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</si>
  <si>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</si>
  <si>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</si>
  <si>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</si>
  <si>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</si>
  <si>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</si>
  <si>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</si>
  <si>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</si>
  <si>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</si>
  <si>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</si>
  <si>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</si>
  <si>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</si>
  <si>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</si>
  <si>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</si>
  <si>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</si>
  <si>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</si>
  <si>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</si>
  <si>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</si>
  <si>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</si>
  <si>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</si>
  <si>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</si>
  <si>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</si>
  <si>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</si>
  <si>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</si>
  <si>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</si>
  <si>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</si>
  <si>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</si>
  <si>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</si>
  <si>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</si>
  <si>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</si>
  <si>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</si>
  <si>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</si>
  <si>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</si>
  <si>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</si>
  <si>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</si>
  <si>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</si>
  <si>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</si>
  <si>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</si>
  <si>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</si>
  <si>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</si>
  <si>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</si>
  <si>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</si>
  <si>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</si>
  <si>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</si>
  <si>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</si>
  <si>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</si>
  <si>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</si>
  <si>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</si>
  <si>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</si>
  <si>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</si>
  <si>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</si>
  <si>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</si>
  <si>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</si>
  <si>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</si>
  <si>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</si>
  <si>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</si>
  <si>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</si>
  <si>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</si>
  <si>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</si>
  <si>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</si>
  <si>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</si>
  <si>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</si>
  <si>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</si>
  <si>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</si>
  <si>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</si>
  <si>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</si>
  <si>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</si>
  <si>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</si>
  <si>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</si>
  <si>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</si>
  <si>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</si>
  <si>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</si>
  <si>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</si>
  <si>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</si>
  <si>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</si>
  <si>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</si>
  <si>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</si>
  <si>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</si>
  <si>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</si>
  <si>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</si>
  <si>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</si>
  <si>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</si>
  <si>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</si>
  <si>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</si>
  <si>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</si>
  <si>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</si>
  <si>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</si>
  <si>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</si>
  <si>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</si>
  <si>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</si>
  <si>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</si>
  <si>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</si>
  <si>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</si>
  <si>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</si>
  <si>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</si>
  <si>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</si>
  <si>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</si>
  <si>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</si>
  <si>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</si>
  <si>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</si>
  <si>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</si>
  <si>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</si>
  <si>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</si>
  <si>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</si>
  <si>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</si>
  <si>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</si>
  <si>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</si>
  <si>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</si>
  <si>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</si>
  <si>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</si>
  <si>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</si>
  <si>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</si>
  <si>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</si>
  <si>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</si>
  <si>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</si>
  <si>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</si>
  <si>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</si>
  <si>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</si>
  <si>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</si>
  <si>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</si>
  <si>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</si>
  <si>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</si>
  <si>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</si>
  <si>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</si>
  <si>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</si>
  <si>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</si>
  <si>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</si>
  <si>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</si>
  <si>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</si>
  <si>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</si>
  <si>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</si>
  <si>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</si>
  <si>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</si>
  <si>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</si>
  <si>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</si>
  <si>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</si>
  <si>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</si>
  <si>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</si>
  <si>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</si>
  <si>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</si>
  <si>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</si>
  <si>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</si>
  <si>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</si>
  <si>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</si>
  <si>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</si>
  <si>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</si>
  <si>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</si>
  <si>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</si>
  <si>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</si>
  <si>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</si>
  <si>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</si>
  <si>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</si>
  <si>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</si>
  <si>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</si>
  <si>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</si>
  <si>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</si>
  <si>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</si>
  <si>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</si>
  <si>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</si>
  <si>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</si>
  <si>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</si>
  <si>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</si>
  <si>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</si>
  <si>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</si>
  <si>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</si>
  <si>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</si>
  <si>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</si>
  <si>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</si>
  <si>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</si>
  <si>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</si>
  <si>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</si>
  <si>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</si>
  <si>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</si>
  <si>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</si>
  <si>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</si>
  <si>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</si>
  <si>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</si>
  <si>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</si>
  <si>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</si>
  <si>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</si>
  <si>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</si>
  <si>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</si>
  <si>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</si>
  <si>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</si>
  <si>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</si>
  <si>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</si>
  <si>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</si>
  <si>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</si>
  <si>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</si>
  <si>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</si>
  <si>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</si>
  <si>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</si>
  <si>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</si>
  <si>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</si>
  <si>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</si>
  <si>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</si>
  <si>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</si>
  <si>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</si>
  <si>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</si>
  <si>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</si>
  <si>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</si>
  <si>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</si>
  <si>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</si>
  <si>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</si>
  <si>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</si>
  <si>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</si>
  <si>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</si>
  <si>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</si>
  <si>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</si>
  <si>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</si>
  <si>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</si>
  <si>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</si>
  <si>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</si>
  <si>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</si>
  <si>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</si>
  <si>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</si>
  <si>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</si>
  <si>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</si>
  <si>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</si>
  <si>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</si>
  <si>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</si>
  <si>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</si>
  <si>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</si>
  <si>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</si>
  <si>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</si>
  <si>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</si>
  <si>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</si>
  <si>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</si>
  <si>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</si>
  <si>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</si>
  <si>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</si>
  <si>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</si>
  <si>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</si>
  <si>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</si>
  <si>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</si>
  <si>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</si>
  <si>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</si>
  <si>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</si>
  <si>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</si>
  <si>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</si>
  <si>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</si>
  <si>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</si>
  <si>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</si>
  <si>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</si>
  <si>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</si>
  <si>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</si>
  <si>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</si>
  <si>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</si>
  <si>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</si>
  <si>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</si>
  <si>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</si>
  <si>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</si>
  <si>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</si>
  <si>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</si>
  <si>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</si>
  <si>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</si>
  <si>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</si>
  <si>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</si>
  <si>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</si>
  <si>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</si>
  <si>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</si>
  <si>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</si>
  <si>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</si>
  <si>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</si>
  <si>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</si>
  <si>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</si>
  <si>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</si>
  <si>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</si>
  <si>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</si>
  <si>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</si>
  <si>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</si>
  <si>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</si>
  <si>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</si>
  <si>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</si>
  <si>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</si>
  <si>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</si>
  <si>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</si>
  <si>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</si>
  <si>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</si>
  <si>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</si>
  <si>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</si>
  <si>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</si>
  <si>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</si>
  <si>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</si>
  <si>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</si>
  <si>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</si>
  <si>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</si>
  <si>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</si>
  <si>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</si>
  <si>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</si>
  <si>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</si>
  <si>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</si>
  <si>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</si>
  <si>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</si>
  <si>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</si>
  <si>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</si>
  <si>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</si>
  <si>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</si>
  <si>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</si>
  <si>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</si>
  <si>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</si>
  <si>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</si>
  <si>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</si>
  <si>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</si>
  <si>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</si>
  <si>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</si>
  <si>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</si>
  <si>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</si>
  <si>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</si>
  <si>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</si>
  <si>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</si>
  <si>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</si>
  <si>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</si>
  <si>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</si>
  <si>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</si>
  <si>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</si>
  <si>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</si>
  <si>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</si>
  <si>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</si>
  <si>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</si>
  <si>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</si>
  <si>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</si>
  <si>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</si>
  <si>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</si>
  <si>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</si>
  <si>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</si>
  <si>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</si>
  <si>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</si>
  <si>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</si>
  <si>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</si>
  <si>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</si>
  <si>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</si>
  <si>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</si>
  <si>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</si>
  <si>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</si>
  <si>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</si>
  <si>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</si>
  <si>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</si>
  <si>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</si>
  <si>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</si>
  <si>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</si>
  <si>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</si>
  <si>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</si>
  <si>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</si>
  <si>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</si>
  <si>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</si>
  <si>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</si>
  <si>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</si>
  <si>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</si>
  <si>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</si>
  <si>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</si>
  <si>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</si>
  <si>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</si>
  <si>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</si>
  <si>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</si>
  <si>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</si>
  <si>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</si>
  <si>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</si>
  <si>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</si>
  <si>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</si>
  <si>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</si>
  <si>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</si>
  <si>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</si>
  <si>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</si>
  <si>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</si>
  <si>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</si>
  <si>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</si>
  <si>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</si>
  <si>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</si>
  <si>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</si>
  <si>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</si>
  <si>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</si>
  <si>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</si>
  <si>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</si>
  <si>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</si>
  <si>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</si>
  <si>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</si>
  <si>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</si>
  <si>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</si>
  <si>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</si>
  <si>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</si>
  <si>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</si>
  <si>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</si>
  <si>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</si>
  <si>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</si>
  <si>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</si>
  <si>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</si>
  <si>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</si>
  <si>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</si>
  <si>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</si>
  <si>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</si>
  <si>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</si>
  <si>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</si>
  <si>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</si>
  <si>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</si>
  <si>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</si>
  <si>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</si>
  <si>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</si>
  <si>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</si>
  <si>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</si>
  <si>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</si>
  <si>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</si>
  <si>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</si>
  <si>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</si>
  <si>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</si>
  <si>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</si>
  <si>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</si>
  <si>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</si>
  <si>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</si>
  <si>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</si>
  <si>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</si>
  <si>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</si>
  <si>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</si>
  <si>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</si>
  <si>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</si>
  <si>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</si>
  <si>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</si>
  <si>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</si>
  <si>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</si>
  <si>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</si>
  <si>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</si>
  <si>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</si>
  <si>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</si>
  <si>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</si>
  <si>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</si>
  <si>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</si>
  <si>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</si>
  <si>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</si>
  <si>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</si>
  <si>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</si>
  <si>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</si>
  <si>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</si>
  <si>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</si>
  <si>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</si>
  <si>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</si>
  <si>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</si>
  <si>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</si>
  <si>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</si>
  <si>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</si>
  <si>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</si>
  <si>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</si>
  <si>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</si>
  <si>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</si>
  <si>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</si>
  <si>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</si>
  <si>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</si>
  <si>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</si>
  <si>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</si>
  <si>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</si>
  <si>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</si>
  <si>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</si>
  <si>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</si>
  <si>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</si>
  <si>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</si>
  <si>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</si>
  <si>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</si>
  <si>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</si>
  <si>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</si>
  <si>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</si>
  <si>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</si>
  <si>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</si>
  <si>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</si>
  <si>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</si>
  <si>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</si>
  <si>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</si>
  <si>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</si>
  <si>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</si>
  <si>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</si>
  <si>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</si>
  <si>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</si>
  <si>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</si>
  <si>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</si>
  <si>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</si>
  <si>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</si>
  <si>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</si>
  <si>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</si>
  <si>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</si>
  <si>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</si>
  <si>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</si>
  <si>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</si>
  <si>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</si>
  <si>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</si>
  <si>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</si>
  <si>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</si>
  <si>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</si>
  <si>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</si>
  <si>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</si>
  <si>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</si>
  <si>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</si>
  <si>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</si>
  <si>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</si>
  <si>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</si>
  <si>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</si>
  <si>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</si>
  <si>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</si>
  <si>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</si>
  <si>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</si>
  <si>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</si>
  <si>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</si>
  <si>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</si>
  <si>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</si>
  <si>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</si>
  <si>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</si>
  <si>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</si>
  <si>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</si>
  <si>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</si>
  <si>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</si>
  <si>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</si>
  <si>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</si>
  <si>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</si>
  <si>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</si>
  <si>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</si>
  <si>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</si>
  <si>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</si>
  <si>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</si>
  <si>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</si>
  <si>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</si>
  <si>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</si>
  <si>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</si>
  <si>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</si>
  <si>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</si>
  <si>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</si>
  <si>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</si>
  <si>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</si>
  <si>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</si>
  <si>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</si>
  <si>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</si>
  <si>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</si>
  <si>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</si>
  <si>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</si>
  <si>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</si>
  <si>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</si>
  <si>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</si>
  <si>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</si>
  <si>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</si>
  <si>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</si>
  <si>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</si>
  <si>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</si>
  <si>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</si>
  <si>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</si>
  <si>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</si>
  <si>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</si>
  <si>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</si>
  <si>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</si>
  <si>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</si>
  <si>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</si>
  <si>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</si>
  <si>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</si>
  <si>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</si>
  <si>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</si>
  <si>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</si>
  <si>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</si>
  <si>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</si>
  <si>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</si>
  <si>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</si>
  <si>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</si>
  <si>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</si>
  <si>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</si>
  <si>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</si>
  <si>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</si>
  <si>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</si>
  <si>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</si>
  <si>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</si>
  <si>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</si>
  <si>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</si>
  <si>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</si>
  <si>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</si>
  <si>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</si>
  <si>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</si>
  <si>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</si>
  <si>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</si>
  <si>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</si>
  <si>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</si>
  <si>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</si>
  <si>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</si>
  <si>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</si>
  <si>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</si>
  <si>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</si>
  <si>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</si>
  <si>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</si>
  <si>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</si>
  <si>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</si>
  <si>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</si>
  <si>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</si>
  <si>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</si>
  <si>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</si>
  <si>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</si>
  <si>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</si>
  <si>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</si>
  <si>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</si>
  <si>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</si>
  <si>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</si>
  <si>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</si>
  <si>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</si>
  <si>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</si>
  <si>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</si>
  <si>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</si>
  <si>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</si>
  <si>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</si>
  <si>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</si>
  <si>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</si>
  <si>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</si>
  <si>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</si>
  <si>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</si>
  <si>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</si>
  <si>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</si>
  <si>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</si>
  <si>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</si>
  <si>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</si>
  <si>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</si>
  <si>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</si>
  <si>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</si>
  <si>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</si>
  <si>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</si>
  <si>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</si>
  <si>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</si>
  <si>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</si>
  <si>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</si>
  <si>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</si>
  <si>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</si>
  <si>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</si>
  <si>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</si>
  <si>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</si>
  <si>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</si>
  <si>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</si>
  <si>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</si>
  <si>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</si>
  <si>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</si>
  <si>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</si>
  <si>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</si>
  <si>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</si>
  <si>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</si>
  <si>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</si>
  <si>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</si>
  <si>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</si>
  <si>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</si>
  <si>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</si>
  <si>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</si>
  <si>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</si>
  <si>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</si>
  <si>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</si>
  <si>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</si>
  <si>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</si>
  <si>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</si>
  <si>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</si>
  <si>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</si>
  <si>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</si>
  <si>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</si>
  <si>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</si>
  <si>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</si>
  <si>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</si>
  <si>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</si>
  <si>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</si>
  <si>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</si>
  <si>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</si>
  <si>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</si>
  <si>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</si>
  <si>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</si>
  <si>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</si>
  <si>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</si>
  <si>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</si>
  <si>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</si>
  <si>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</si>
  <si>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</si>
  <si>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</si>
  <si>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</si>
  <si>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</si>
  <si>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</si>
  <si>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</si>
  <si>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</si>
  <si>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</si>
  <si>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</si>
  <si>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</si>
  <si>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</si>
  <si>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</si>
  <si>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</si>
  <si>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</si>
  <si>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</si>
  <si>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</si>
  <si>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</si>
  <si>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</si>
  <si>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</si>
  <si>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</si>
  <si>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</si>
  <si>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</si>
  <si>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</si>
  <si>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</si>
  <si>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</si>
  <si>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</si>
  <si>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</si>
  <si>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</si>
  <si>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</si>
  <si>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</si>
  <si>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</si>
  <si>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</si>
  <si>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</si>
  <si>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</si>
  <si>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</si>
  <si>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</si>
  <si>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</si>
  <si>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</si>
  <si>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</si>
  <si>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</si>
  <si>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</si>
  <si>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</si>
  <si>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</si>
  <si>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</si>
  <si>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</si>
  <si>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</si>
  <si>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</si>
  <si>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</si>
  <si>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</si>
  <si>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</si>
  <si>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</si>
  <si>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</si>
  <si>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</si>
  <si>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</si>
  <si>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</si>
  <si>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</si>
  <si>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</si>
  <si>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</si>
  <si>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</si>
  <si>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</si>
  <si>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</si>
  <si>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</si>
  <si>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</si>
  <si>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</si>
  <si>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</si>
  <si>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</si>
  <si>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</si>
  <si>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</si>
  <si>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</si>
  <si>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</si>
  <si>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</si>
  <si>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</si>
  <si>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</si>
  <si>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</si>
  <si>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</si>
  <si>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</si>
  <si>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</si>
  <si>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</si>
  <si>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</si>
  <si>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</si>
  <si>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</si>
  <si>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</si>
  <si>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</si>
  <si>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</si>
  <si>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</si>
  <si>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</si>
  <si>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</si>
  <si>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</si>
  <si>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</si>
  <si>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</si>
  <si>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</si>
  <si>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</si>
  <si>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</si>
  <si>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</si>
  <si>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</si>
  <si>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</si>
  <si>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</si>
  <si>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</si>
  <si>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</si>
  <si>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</si>
  <si>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</si>
  <si>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</si>
  <si>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</si>
  <si>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</si>
  <si>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</si>
  <si>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</si>
  <si>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</si>
  <si>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</si>
  <si>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</si>
  <si>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</si>
  <si>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</si>
  <si>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</si>
  <si>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</si>
  <si>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</si>
  <si>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</si>
  <si>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</si>
  <si>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</si>
  <si>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</si>
  <si>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</si>
  <si>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</si>
  <si>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</si>
  <si>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</si>
  <si>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</si>
  <si>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</si>
  <si>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</si>
  <si>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</si>
  <si>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</si>
  <si>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</si>
  <si>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</si>
  <si>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</si>
  <si>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</si>
  <si>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</si>
  <si>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</si>
  <si>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</si>
  <si>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</si>
  <si>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</si>
  <si>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</si>
  <si>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</si>
  <si>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</si>
  <si>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</si>
  <si>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</si>
  <si>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</si>
  <si>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</si>
  <si>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</si>
  <si>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</si>
  <si>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</si>
  <si>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</si>
  <si>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</si>
  <si>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</si>
  <si>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</si>
  <si>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</si>
  <si>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</si>
  <si>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</si>
  <si>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</si>
  <si>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</si>
  <si>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</si>
  <si>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</si>
  <si>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</si>
  <si>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</si>
  <si>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</si>
  <si>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</si>
  <si>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</si>
  <si>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</si>
  <si>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</si>
  <si>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</si>
  <si>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</si>
  <si>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</si>
  <si>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</si>
  <si>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</si>
  <si>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</si>
  <si>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</si>
  <si>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</si>
  <si>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</si>
  <si>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</si>
  <si>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</si>
  <si>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</si>
  <si>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</si>
  <si>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</si>
  <si>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</si>
  <si>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</si>
  <si>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</si>
  <si>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</si>
  <si>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</si>
  <si>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</si>
  <si>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</si>
  <si>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</si>
  <si>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</si>
  <si>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</si>
  <si>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</si>
  <si>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</si>
  <si>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</si>
  <si>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</si>
  <si>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</si>
  <si>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</si>
  <si>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</si>
  <si>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</si>
  <si>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</si>
  <si>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</si>
  <si>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</si>
  <si>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</si>
  <si>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</si>
  <si>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</si>
  <si>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</si>
  <si>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</si>
  <si>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</si>
  <si>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</si>
  <si>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</si>
  <si>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</si>
  <si>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</si>
  <si>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</si>
  <si>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</si>
  <si>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</si>
  <si>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</si>
  <si>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</si>
  <si>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</si>
  <si>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</si>
  <si>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</si>
  <si>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</si>
  <si>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</si>
  <si>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</si>
  <si>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</si>
  <si>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</si>
  <si>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</si>
  <si>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</si>
  <si>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</si>
  <si>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</si>
  <si>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</si>
  <si>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</si>
  <si>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</si>
  <si>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</si>
  <si>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</si>
  <si>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</si>
  <si>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</si>
  <si>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</si>
  <si>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</si>
  <si>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</si>
  <si>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</si>
  <si>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</si>
  <si>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</si>
  <si>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</si>
  <si>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</si>
  <si>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</si>
  <si>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</si>
  <si>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</si>
  <si>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</si>
  <si>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</si>
  <si>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</si>
  <si>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</si>
  <si>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</si>
  <si>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</si>
  <si>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</si>
  <si>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</si>
  <si>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</si>
  <si>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</si>
  <si>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</si>
  <si>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</si>
  <si>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</si>
  <si>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</si>
  <si>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</si>
  <si>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</si>
  <si>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</si>
  <si>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</si>
  <si>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</si>
  <si>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</si>
  <si>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</si>
  <si>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</si>
  <si>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</si>
  <si>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</si>
  <si>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</si>
  <si>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</si>
  <si>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</si>
  <si>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</si>
  <si>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</si>
  <si>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</si>
  <si>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</si>
  <si>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</si>
  <si>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</si>
  <si>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</si>
  <si>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</si>
  <si>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</si>
  <si>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</si>
  <si>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</si>
  <si>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</si>
  <si>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</si>
  <si>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</si>
  <si>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</si>
  <si>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</si>
  <si>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</si>
  <si>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</si>
  <si>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</si>
  <si>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</si>
  <si>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</si>
  <si>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</si>
  <si>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</si>
  <si>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</si>
  <si>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</si>
  <si>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</si>
  <si>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</si>
  <si>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</si>
  <si>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</si>
  <si>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</si>
  <si>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</si>
  <si>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</si>
  <si>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</si>
  <si>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</si>
  <si>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</si>
  <si>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</si>
  <si>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</si>
  <si>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</si>
  <si>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</si>
  <si>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</si>
  <si>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</si>
  <si>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</si>
  <si>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</si>
  <si>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</si>
  <si>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</si>
  <si>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</si>
  <si>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</si>
  <si>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</si>
  <si>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</si>
  <si>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</si>
  <si>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</si>
  <si>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</si>
  <si>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</si>
  <si>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</si>
  <si>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</si>
  <si>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</si>
  <si>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</si>
  <si>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</si>
  <si>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</si>
  <si>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</si>
  <si>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</si>
  <si>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</si>
  <si>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</si>
  <si>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</si>
  <si>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</si>
  <si>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</si>
  <si>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</si>
  <si>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</si>
  <si>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</si>
  <si>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</si>
  <si>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</si>
  <si>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</si>
  <si>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</si>
  <si>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</si>
  <si>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</si>
  <si>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</si>
  <si>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</si>
  <si>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</si>
  <si>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</si>
  <si>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</si>
  <si>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</si>
  <si>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</si>
  <si>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</si>
  <si>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</si>
  <si>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</si>
  <si>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</si>
  <si>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</si>
  <si>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</si>
  <si>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</si>
  <si>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</si>
  <si>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</si>
  <si>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</si>
  <si>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</si>
  <si>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</si>
  <si>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</si>
  <si>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</si>
  <si>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</si>
  <si>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</si>
  <si>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</si>
  <si>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</si>
  <si>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</si>
  <si>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</si>
  <si>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</si>
  <si>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</si>
  <si>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</si>
  <si>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</si>
  <si>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</si>
  <si>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</si>
  <si>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</si>
  <si>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</si>
  <si>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</si>
  <si>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</si>
  <si>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</si>
  <si>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</si>
  <si>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</si>
  <si>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</si>
  <si>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</si>
  <si>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</si>
  <si>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</si>
  <si>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</si>
  <si>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</si>
  <si>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</si>
  <si>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</si>
  <si>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</si>
  <si>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</si>
  <si>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</si>
  <si>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</si>
  <si>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</si>
  <si>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</si>
  <si>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</si>
  <si>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</si>
  <si>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</si>
  <si>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</si>
  <si>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</si>
  <si>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</si>
  <si>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</si>
  <si>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</si>
  <si>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</si>
  <si>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</si>
  <si>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</si>
  <si>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</si>
  <si>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</si>
  <si>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</si>
  <si>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</si>
  <si>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</si>
  <si>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</si>
  <si>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</si>
  <si>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</si>
  <si>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</si>
  <si>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</si>
  <si>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</si>
  <si>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</si>
  <si>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</si>
  <si>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</si>
  <si>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</si>
  <si>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</si>
  <si>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</si>
  <si>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</si>
  <si>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</si>
  <si>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</si>
  <si>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</si>
  <si>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</si>
  <si>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</si>
  <si>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</si>
  <si>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</si>
  <si>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</si>
  <si>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</si>
  <si>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</si>
  <si>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</si>
  <si>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</si>
  <si>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</si>
  <si>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</si>
  <si>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</si>
  <si>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</si>
  <si>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</si>
  <si>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</si>
  <si>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</si>
  <si>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</si>
  <si>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</si>
  <si>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</si>
  <si>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</si>
  <si>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</si>
  <si>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</si>
  <si>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</si>
  <si>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</si>
  <si>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</si>
  <si>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</si>
  <si>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</si>
  <si>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</si>
  <si>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</si>
  <si>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</si>
  <si>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</si>
  <si>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</si>
  <si>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</si>
  <si>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</si>
  <si>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</si>
  <si>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</si>
  <si>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</si>
  <si>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</si>
  <si>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</si>
  <si>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</si>
  <si>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</si>
  <si>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</si>
  <si>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</si>
  <si>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</si>
  <si>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</si>
  <si>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</si>
  <si>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</si>
  <si>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</si>
  <si>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</si>
  <si>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</si>
  <si>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</si>
  <si>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</si>
  <si>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</si>
  <si>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</si>
  <si>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</si>
  <si>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</si>
  <si>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</si>
  <si>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</si>
  <si>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</si>
  <si>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</si>
  <si>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</si>
  <si>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</si>
  <si>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</si>
  <si>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</si>
  <si>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</si>
  <si>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</si>
  <si>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</si>
  <si>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</si>
  <si>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</si>
  <si>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</si>
  <si>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</si>
  <si>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</si>
  <si>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</si>
  <si>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</si>
  <si>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</si>
  <si>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</si>
  <si>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</si>
  <si>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</si>
  <si>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</si>
  <si>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</si>
  <si>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</si>
  <si>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</si>
  <si>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</si>
  <si>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</si>
  <si>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</si>
  <si>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</si>
  <si>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</si>
  <si>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</si>
  <si>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</si>
  <si>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</si>
  <si>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</si>
  <si>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</si>
  <si>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</si>
  <si>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</si>
  <si>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</si>
  <si>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</si>
  <si>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</si>
  <si>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</si>
  <si>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</si>
  <si>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</si>
  <si>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</si>
  <si>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</si>
  <si>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</si>
  <si>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</si>
  <si>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</si>
  <si>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</si>
  <si>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</si>
  <si>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</si>
  <si>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</si>
  <si>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</si>
  <si>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</si>
  <si>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</si>
  <si>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</si>
  <si>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</si>
  <si>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</si>
  <si>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</si>
  <si>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</si>
  <si>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</si>
  <si>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</si>
  <si>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</si>
  <si>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</si>
  <si>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</si>
  <si>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</si>
  <si>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</si>
  <si>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</si>
  <si>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</si>
  <si>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</si>
  <si>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</si>
  <si>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</si>
  <si>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</si>
  <si>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</si>
  <si>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</si>
  <si>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</si>
  <si>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</si>
  <si>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</si>
  <si>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</si>
  <si>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</si>
  <si>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</si>
  <si>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</si>
  <si>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</si>
  <si>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</si>
  <si>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</si>
  <si>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</si>
  <si>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</si>
  <si>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</si>
  <si>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</si>
  <si>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</si>
  <si>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</si>
  <si>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</si>
  <si>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</si>
  <si>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</si>
  <si>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</si>
  <si>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</si>
  <si>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</si>
  <si>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</si>
  <si>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</si>
  <si>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</si>
  <si>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</si>
  <si>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</si>
  <si>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</si>
  <si>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</si>
  <si>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</si>
  <si>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</si>
  <si>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</si>
  <si>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</si>
  <si>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</si>
  <si>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</si>
  <si>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</si>
  <si>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</si>
  <si>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</si>
  <si>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</si>
  <si>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</si>
  <si>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</si>
  <si>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</si>
  <si>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</si>
  <si>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</si>
  <si>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</si>
  <si>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</si>
  <si>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</si>
  <si>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</si>
  <si>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</si>
  <si>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</si>
  <si>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</si>
  <si>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</si>
  <si>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</si>
  <si>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</si>
  <si>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</si>
  <si>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</si>
  <si>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</si>
  <si>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</si>
  <si>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</si>
  <si>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</si>
  <si>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</si>
  <si>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</si>
  <si>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</si>
  <si>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</si>
  <si>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</si>
  <si>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</si>
  <si>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</si>
  <si>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</si>
  <si>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</si>
  <si>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</si>
  <si>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</si>
  <si>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</si>
  <si>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</si>
  <si>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</si>
  <si>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</si>
  <si>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</si>
  <si>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</si>
  <si>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</si>
  <si>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</si>
  <si>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</si>
  <si>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</si>
  <si>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</si>
  <si>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</si>
  <si>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</si>
  <si>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</si>
  <si>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</si>
  <si>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</si>
  <si>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</si>
  <si>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</si>
  <si>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</si>
  <si>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</si>
  <si>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</si>
  <si>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</si>
  <si>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</si>
  <si>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</si>
  <si>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</si>
  <si>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</si>
  <si>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</si>
  <si>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</si>
  <si>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</si>
  <si>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</si>
  <si>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</si>
  <si>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</si>
  <si>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</si>
  <si>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</si>
  <si>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</si>
  <si>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</si>
  <si>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</si>
  <si>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</si>
  <si>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</si>
  <si>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</si>
  <si>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</si>
  <si>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</si>
  <si>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</si>
  <si>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</si>
  <si>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</si>
  <si>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</si>
  <si>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</si>
  <si>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</si>
  <si>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</si>
  <si>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</si>
  <si>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</si>
  <si>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</si>
  <si>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</si>
  <si>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</si>
  <si>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</si>
  <si>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</si>
  <si>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</si>
  <si>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</si>
  <si>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</si>
  <si>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</si>
  <si>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</si>
  <si>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</si>
  <si>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</si>
  <si>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</si>
  <si>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</si>
  <si>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</si>
  <si>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</si>
  <si>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</si>
  <si>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</si>
  <si>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</si>
  <si>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</si>
  <si>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</si>
  <si>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</si>
  <si>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</si>
  <si>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</si>
  <si>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</si>
  <si>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</si>
  <si>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</si>
  <si>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</si>
  <si>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</si>
  <si>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</si>
  <si>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</si>
  <si>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</si>
  <si>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</si>
  <si>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</si>
  <si>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</si>
  <si>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</si>
  <si>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</si>
  <si>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</si>
  <si>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</si>
  <si>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</si>
  <si>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</si>
  <si>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</si>
  <si>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</si>
  <si>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</si>
  <si>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</si>
  <si>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</si>
  <si>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</si>
  <si>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</si>
  <si>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</si>
  <si>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</si>
  <si>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</si>
  <si>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</si>
  <si>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</si>
  <si>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</si>
  <si>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</si>
  <si>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</si>
  <si>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</si>
  <si>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</si>
  <si>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</si>
  <si>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</si>
  <si>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</si>
  <si>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</si>
  <si>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</si>
  <si>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</si>
  <si>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</si>
  <si>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</si>
  <si>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</si>
  <si>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</si>
  <si>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</si>
  <si>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</si>
  <si>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</si>
  <si>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Micro Crystal AG</t>
  </si>
  <si>
    <t>48-498-2736</t>
  </si>
  <si>
    <t>DUNS Number</t>
  </si>
  <si>
    <t>Muehlestrasse 14, CH-2540 Grenchen, Switzerland</t>
  </si>
  <si>
    <t>Fritz Burkhalter</t>
  </si>
  <si>
    <t>fritz.burkhalter@microcrystal.ch</t>
  </si>
  <si>
    <t>+41326557088</t>
  </si>
  <si>
    <t>QM</t>
  </si>
  <si>
    <t>100%</t>
  </si>
  <si>
    <t>VA-1101 (Principles of Conduct) and FO-3608 (CSR Agreement)</t>
  </si>
  <si>
    <t>https://www.microcrystal.com/fileadmin/Media/Certificates/Code_of_Conduct.pdf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</si>
</sst>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ritz.burkhalter@microcrystal.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icrocrystal.com/fileadmin/Media/Certificates/Code_of_Conduct.pdf" TargetMode="External"/><Relationship Id="rId4" Type="http://schemas.openxmlformats.org/officeDocument/2006/relationships/hyperlink" Target="mailto:fritz.burkhalter@microcrystal.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4960ABF-0698-4437-9803-C556E9095E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AACD898-CD0E-4F22-A29B-D9D9923A4BF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45229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15804</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80AB81-0EAE-4151-96D3-7D85404BF949}"/>
    <hyperlink ref="D20" r:id="rId4" xr:uid="{BC486C76-875B-4305-9884-5ACFABC315D1}"/>
    <hyperlink ref="G77" r:id="rId5" xr:uid="{3BD6B900-D4B8-45C0-8C2C-BDB48BCF25C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35" sqref="A3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
        <v>1125</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
        <v>655</v>
      </c>
      <c r="B6" s="182" t="str">
        <f ca="1">IF(LEN(A6)=0,"",INDEX('Smelter Look-up'!$A:$A,MATCH($A6,'Smelter Look-up'!$E:$E,0)))</f>
        <v>Gold</v>
      </c>
      <c r="C6" s="186" t="str">
        <f ca="1">IF(LEN(A6)=0,"",INDEX('Smelter Look-up'!$C:$C,MATCH($A6,'Smelter Look-up'!$E:$E,0)))</f>
        <v>Asahi Pretec Corp.</v>
      </c>
      <c r="D6" s="230"/>
      <c r="E6" s="182" t="str">
        <f ca="1">IF(ISERROR($V6),"",OFFSET('Smelter Look-up'!$D$4,$V6-4,0)&amp;"")</f>
        <v>JAPAN</v>
      </c>
      <c r="F6" s="182" t="str">
        <f ca="1">IF(ISERROR($V6),"",OFFSET('Smelter Look-up'!$E$4,$V6-4,0))</f>
        <v>CID000082</v>
      </c>
      <c r="G6" s="182" t="str">
        <f ca="1">IF(C6=$X$4,IF(ISERROR($V6),"Enter smelter details","RMI"),IF(ISERROR($V6),"",OFFSET('Smelter Look-up'!$F$4,$V6-4,0)))</f>
        <v>RMI</v>
      </c>
      <c r="H6" s="183">
        <f ca="1">IF(ISERROR($V6),"",OFFSET('Smelter Look-up'!$G$4,$V6-4,0))</f>
        <v>0</v>
      </c>
      <c r="I6" s="184" t="str">
        <f ca="1">IF(ISERROR($V6),"",OFFSET('Smelter Look-up'!$H$4,$V6-4,0))</f>
        <v>Kobe</v>
      </c>
      <c r="J6" s="184" t="str">
        <f ca="1">IF(ISERROR($V6),"",OFFSET('Smelter Look-up'!$I$4,$V6-4,0))</f>
        <v>Hyogo</v>
      </c>
      <c r="K6" s="224"/>
      <c r="L6" s="224"/>
      <c r="M6" s="224"/>
      <c r="N6" s="224"/>
      <c r="O6" s="224"/>
      <c r="P6" s="185"/>
      <c r="Q6" s="225"/>
      <c r="R6" s="182" t="str">
        <f ca="1">IF(ISERROR($V6),"",OFFSET('Smelter Look-up'!$C$4,$V6-4,0)&amp;"")</f>
        <v>Asahi Pretec Corp.</v>
      </c>
      <c r="S6" s="181" t="str">
        <f t="shared" ref="S6:S37" ca="1" si="3">IF(B6="","",IF(ISERROR(MATCH($E6,CL,0)),"Unknown",INDIRECT("'C'!$A$"&amp;MATCH($E6,CL,0)+1)))</f>
        <v>JP</v>
      </c>
      <c r="T6" s="181" t="str">
        <f ca="1">IF(B6="","",IF(ISERROR(MATCH($J6,SorP!$B$1:$B$6279,0)),"",INDIRECT("'SorP'!$A$"&amp;MATCH($S6&amp;$J6,SorP!C:C,0))))</f>
        <v>JP-28</v>
      </c>
      <c r="U6" s="201"/>
      <c r="V6" s="226">
        <f ca="1">IF(C6="",NA(),IF(OR(C6="Smelter not listed",C6="Smelter not yet identified"),MATCH($B6&amp;$D6,'Smelter Look-up'!$J:$J,0),MATCH($B6&amp;$C6,'Smelter Look-up'!$J:$J,0)))</f>
        <v>29</v>
      </c>
      <c r="X6" s="227">
        <f t="shared" ref="X6:X37" ca="1" si="4">IF(AND(C6="Smelter not listed",OR(LEN(D6)=0,LEN(E6)=0)),1,0)</f>
        <v>0</v>
      </c>
      <c r="AB6" s="228" t="str">
        <f t="shared" ref="AB6:AB37" ca="1" si="5">B6&amp;C6</f>
        <v>GoldAsahi Pretec Corp.</v>
      </c>
    </row>
    <row r="7" spans="1:34" s="227" customFormat="1" ht="19.899999999999999" customHeight="1">
      <c r="A7" s="262" t="s">
        <v>664</v>
      </c>
      <c r="B7" s="182" t="str">
        <f ca="1">IF(LEN(A7)=0,"",INDEX('Smelter Look-up'!$A:$A,MATCH($A7,'Smelter Look-up'!$E:$E,0)))</f>
        <v>Gold</v>
      </c>
      <c r="C7" s="186" t="str">
        <f ca="1">IF(LEN(A7)=0,"",INDEX('Smelter Look-up'!$C:$C,MATCH($A7,'Smelter Look-up'!$E:$E,0)))</f>
        <v>CCR Refinery - Glencore Canada Corporation</v>
      </c>
      <c r="D7" s="230"/>
      <c r="E7" s="182" t="str">
        <f ca="1">IF(ISERROR($V7),"",OFFSET('Smelter Look-up'!$D$4,$V7-4,0)&amp;"")</f>
        <v>CANADA</v>
      </c>
      <c r="F7" s="182" t="str">
        <f ca="1">IF(ISERROR($V7),"",OFFSET('Smelter Look-up'!$E$4,$V7-4,0))</f>
        <v>CID000185</v>
      </c>
      <c r="G7" s="182" t="str">
        <f ca="1">IF(C7=$X$4,IF(ISERROR($V7),"Enter smelter details","RMI"),IF(ISERROR($V7),"",OFFSET('Smelter Look-up'!$F$4,$V7-4,0)))</f>
        <v>RMI</v>
      </c>
      <c r="H7" s="183">
        <f ca="1">IF(ISERROR($V7),"",OFFSET('Smelter Look-up'!$G$4,$V7-4,0))</f>
        <v>0</v>
      </c>
      <c r="I7" s="184" t="str">
        <f ca="1">IF(ISERROR($V7),"",OFFSET('Smelter Look-up'!$H$4,$V7-4,0))</f>
        <v>Montréal</v>
      </c>
      <c r="J7" s="184" t="str">
        <f ca="1">IF(ISERROR($V7),"",OFFSET('Smelter Look-up'!$I$4,$V7-4,0))</f>
        <v>Quebec</v>
      </c>
      <c r="K7" s="224"/>
      <c r="L7" s="224"/>
      <c r="M7" s="224"/>
      <c r="N7" s="224"/>
      <c r="O7" s="224"/>
      <c r="P7" s="185"/>
      <c r="Q7" s="225"/>
      <c r="R7" s="182" t="str">
        <f ca="1">IF(ISERROR($V7),"",OFFSET('Smelter Look-up'!$C$4,$V7-4,0)&amp;"")</f>
        <v>CCR Refinery - Glencore Canada Corporation</v>
      </c>
      <c r="S7" s="181" t="str">
        <f t="shared" ca="1" si="3"/>
        <v>CA</v>
      </c>
      <c r="T7" s="181" t="str">
        <f ca="1">IF(B7="","",IF(ISERROR(MATCH($J7,SorP!$B$1:$B$6279,0)),"",INDIRECT("'SorP'!$A$"&amp;MATCH($S7&amp;$J7,SorP!C:C,0))))</f>
        <v>CA-QC</v>
      </c>
      <c r="U7" s="201"/>
      <c r="V7" s="226">
        <f ca="1">IF(C7="",NA(),IF(OR(C7="Smelter not listed",C7="Smelter not yet identified"),MATCH($B7&amp;$D7,'Smelter Look-up'!$J:$J,0),MATCH($B7&amp;$C7,'Smelter Look-up'!$J:$J,0)))</f>
        <v>47</v>
      </c>
      <c r="X7" s="227">
        <f t="shared" ca="1" si="4"/>
        <v>0</v>
      </c>
      <c r="AB7" s="228" t="str">
        <f t="shared" ca="1" si="5"/>
        <v>GoldCCR Refinery - Glencore Canada Corporation</v>
      </c>
    </row>
    <row r="8" spans="1:34" s="227" customFormat="1" ht="19.899999999999999" customHeight="1">
      <c r="A8" s="262" t="s">
        <v>671</v>
      </c>
      <c r="B8" s="182" t="str">
        <f ca="1">IF(LEN(A8)=0,"",INDEX('Smelter Look-up'!$A:$A,MATCH($A8,'Smelter Look-up'!$E:$E,0)))</f>
        <v>Gold</v>
      </c>
      <c r="C8" s="186" t="str">
        <f ca="1">IF(LEN(A8)=0,"",INDEX('Smelter Look-up'!$C:$C,MATCH($A8,'Smelter Look-up'!$E:$E,0)))</f>
        <v>Dowa</v>
      </c>
      <c r="D8" s="230"/>
      <c r="E8" s="182" t="str">
        <f ca="1">IF(ISERROR($V8),"",OFFSET('Smelter Look-up'!$D$4,$V8-4,0)&amp;"")</f>
        <v>JAPAN</v>
      </c>
      <c r="F8" s="182" t="str">
        <f ca="1">IF(ISERROR($V8),"",OFFSET('Smelter Look-up'!$E$4,$V8-4,0))</f>
        <v>CID000401</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67</v>
      </c>
      <c r="X8" s="227">
        <f t="shared" ca="1" si="4"/>
        <v>0</v>
      </c>
      <c r="AB8" s="228" t="str">
        <f t="shared" ca="1" si="5"/>
        <v>GoldDowa</v>
      </c>
    </row>
    <row r="9" spans="1:34" s="227" customFormat="1" ht="19.899999999999999" customHeight="1">
      <c r="A9" s="262" t="s">
        <v>682</v>
      </c>
      <c r="B9" s="182" t="str">
        <f ca="1">IF(LEN(A9)=0,"",INDEX('Smelter Look-up'!$A:$A,MATCH($A9,'Smelter Look-up'!$E:$E,0)))</f>
        <v>Gold</v>
      </c>
      <c r="C9" s="186" t="str">
        <f ca="1">IF(LEN(A9)=0,"",INDEX('Smelter Look-up'!$C:$C,MATCH($A9,'Smelter Look-up'!$E:$E,0)))</f>
        <v>Ishifuku Metal Industry Co., Ltd.</v>
      </c>
      <c r="D9" s="230"/>
      <c r="E9" s="182" t="str">
        <f ca="1">IF(ISERROR($V9),"",OFFSET('Smelter Look-up'!$D$4,$V9-4,0)&amp;"")</f>
        <v>JAPAN</v>
      </c>
      <c r="F9" s="182" t="str">
        <f ca="1">IF(ISERROR($V9),"",OFFSET('Smelter Look-up'!$E$4,$V9-4,0))</f>
        <v>CID000807</v>
      </c>
      <c r="G9" s="182" t="str">
        <f ca="1">IF(C9=$X$4,IF(ISERROR($V9),"Enter smelter details","RMI"),IF(ISERROR($V9),"",OFFSET('Smelter Look-up'!$F$4,$V9-4,0)))</f>
        <v>RMI</v>
      </c>
      <c r="H9" s="183">
        <f ca="1">IF(ISERROR($V9),"",OFFSET('Smelter Look-up'!$G$4,$V9-4,0))</f>
        <v>0</v>
      </c>
      <c r="I9" s="184" t="str">
        <f ca="1">IF(ISERROR($V9),"",OFFSET('Smelter Look-up'!$H$4,$V9-4,0))</f>
        <v>Soka</v>
      </c>
      <c r="J9" s="184" t="str">
        <f ca="1">IF(ISERROR($V9),"",OFFSET('Smelter Look-up'!$I$4,$V9-4,0))</f>
        <v>Saitama</v>
      </c>
      <c r="K9" s="224"/>
      <c r="L9" s="224"/>
      <c r="M9" s="224"/>
      <c r="N9" s="224"/>
      <c r="O9" s="224"/>
      <c r="P9" s="185"/>
      <c r="Q9" s="225"/>
      <c r="R9" s="182" t="str">
        <f ca="1">IF(ISERROR($V9),"",OFFSET('Smelter Look-up'!$C$4,$V9-4,0)&amp;"")</f>
        <v>Ishifuku Metal Industry Co., Ltd.</v>
      </c>
      <c r="S9" s="181" t="str">
        <f t="shared" ca="1" si="3"/>
        <v>JP</v>
      </c>
      <c r="T9" s="181" t="str">
        <f ca="1">IF(B9="","",IF(ISERROR(MATCH($J9,SorP!$B$1:$B$6279,0)),"",INDIRECT("'SorP'!$A$"&amp;MATCH($S9&amp;$J9,SorP!C:C,0))))</f>
        <v>JP-11</v>
      </c>
      <c r="U9" s="201"/>
      <c r="V9" s="226">
        <f ca="1">IF(C9="",NA(),IF(OR(C9="Smelter not listed",C9="Smelter not yet identified"),MATCH($B9&amp;$D9,'Smelter Look-up'!$J:$J,0),MATCH($B9&amp;$C9,'Smelter Look-up'!$J:$J,0)))</f>
        <v>118</v>
      </c>
      <c r="X9" s="227">
        <f t="shared" ca="1" si="4"/>
        <v>0</v>
      </c>
      <c r="AB9" s="228" t="str">
        <f t="shared" ca="1" si="5"/>
        <v>GoldIshifuku Metal Industry Co., Ltd.</v>
      </c>
    </row>
    <row r="10" spans="1:34" s="227" customFormat="1" ht="19.899999999999999" customHeight="1">
      <c r="A10" s="262" t="s">
        <v>690</v>
      </c>
      <c r="B10" s="182" t="str">
        <f ca="1">IF(LEN(A10)=0,"",INDEX('Smelter Look-up'!$A:$A,MATCH($A10,'Smelter Look-up'!$E:$E,0)))</f>
        <v>Gold</v>
      </c>
      <c r="C10" s="186" t="str">
        <f ca="1">IF(LEN(A10)=0,"",INDEX('Smelter Look-up'!$C:$C,MATCH($A10,'Smelter Look-up'!$E:$E,0)))</f>
        <v>JX Nippon Mining &amp; Metals Co., Ltd.</v>
      </c>
      <c r="D10" s="230"/>
      <c r="E10" s="182" t="str">
        <f ca="1">IF(ISERROR($V10),"",OFFSET('Smelter Look-up'!$D$4,$V10-4,0)&amp;"")</f>
        <v>JAPAN</v>
      </c>
      <c r="F10" s="182" t="str">
        <f ca="1">IF(ISERROR($V10),"",OFFSET('Smelter Look-up'!$E$4,$V10-4,0))</f>
        <v>CID000937</v>
      </c>
      <c r="G10" s="182" t="str">
        <f ca="1">IF(C10=$X$4,IF(ISERROR($V10),"Enter smelter details","RMI"),IF(ISERROR($V10),"",OFFSET('Smelter Look-up'!$F$4,$V10-4,0)))</f>
        <v>RMI</v>
      </c>
      <c r="H10" s="183">
        <f ca="1">IF(ISERROR($V10),"",OFFSET('Smelter Look-up'!$G$4,$V10-4,0))</f>
        <v>0</v>
      </c>
      <c r="I10" s="184" t="str">
        <f ca="1">IF(ISERROR($V10),"",OFFSET('Smelter Look-up'!$H$4,$V10-4,0))</f>
        <v>Ōita</v>
      </c>
      <c r="J10" s="184" t="str">
        <f ca="1">IF(ISERROR($V10),"",OFFSET('Smelter Look-up'!$I$4,$V10-4,0))</f>
        <v>Ôita</v>
      </c>
      <c r="K10" s="224"/>
      <c r="L10" s="224"/>
      <c r="M10" s="224"/>
      <c r="N10" s="224"/>
      <c r="O10" s="224"/>
      <c r="P10" s="185"/>
      <c r="Q10" s="225"/>
      <c r="R10" s="182" t="str">
        <f ca="1">IF(ISERROR($V10),"",OFFSET('Smelter Look-up'!$C$4,$V10-4,0)&amp;"")</f>
        <v>JX Nippon Mining &amp; Metals Co., Ltd.</v>
      </c>
      <c r="S10" s="181" t="str">
        <f t="shared" ca="1" si="3"/>
        <v>JP</v>
      </c>
      <c r="T10" s="181" t="str">
        <f ca="1">IF(B10="","",IF(ISERROR(MATCH($J10,SorP!$B$1:$B$6279,0)),"",INDIRECT("'SorP'!$A$"&amp;MATCH($S10&amp;$J10,SorP!C:C,0))))</f>
        <v>JP-44</v>
      </c>
      <c r="U10" s="201"/>
      <c r="V10" s="226">
        <f ca="1">IF(C10="",NA(),IF(OR(C10="Smelter not listed",C10="Smelter not yet identified"),MATCH($B10&amp;$D10,'Smelter Look-up'!$J:$J,0),MATCH($B10&amp;$C10,'Smelter Look-up'!$J:$J,0)))</f>
        <v>132</v>
      </c>
      <c r="X10" s="227">
        <f t="shared" ca="1" si="4"/>
        <v>0</v>
      </c>
      <c r="AB10" s="228" t="str">
        <f t="shared" ca="1" si="5"/>
        <v>GoldJX Nippon Mining &amp; Metals Co., Ltd.</v>
      </c>
    </row>
    <row r="11" spans="1:34" s="227" customFormat="1" ht="19.899999999999999" customHeight="1">
      <c r="A11" s="262" t="s">
        <v>694</v>
      </c>
      <c r="B11" s="182" t="str">
        <f ca="1">IF(LEN(A11)=0,"",INDEX('Smelter Look-up'!$A:$A,MATCH($A11,'Smelter Look-up'!$E:$E,0)))</f>
        <v>Gold</v>
      </c>
      <c r="C11" s="186" t="str">
        <f ca="1">IF(LEN(A11)=0,"",INDEX('Smelter Look-up'!$C:$C,MATCH($A11,'Smelter Look-up'!$E:$E,0)))</f>
        <v>Kojima Chemicals Co., Ltd.</v>
      </c>
      <c r="D11" s="230"/>
      <c r="E11" s="182" t="str">
        <f ca="1">IF(ISERROR($V11),"",OFFSET('Smelter Look-up'!$D$4,$V11-4,0)&amp;"")</f>
        <v>JAPAN</v>
      </c>
      <c r="F11" s="182" t="str">
        <f ca="1">IF(ISERROR($V11),"",OFFSET('Smelter Look-up'!$E$4,$V11-4,0))</f>
        <v>CID000981</v>
      </c>
      <c r="G11" s="182" t="str">
        <f ca="1">IF(C11=$X$4,IF(ISERROR($V11),"Enter smelter details","RMI"),IF(ISERROR($V11),"",OFFSET('Smelter Look-up'!$F$4,$V11-4,0)))</f>
        <v>RMI</v>
      </c>
      <c r="H11" s="183">
        <f ca="1">IF(ISERROR($V11),"",OFFSET('Smelter Look-up'!$G$4,$V11-4,0))</f>
        <v>0</v>
      </c>
      <c r="I11" s="184" t="str">
        <f ca="1">IF(ISERROR($V11),"",OFFSET('Smelter Look-up'!$H$4,$V11-4,0))</f>
        <v>Sayama</v>
      </c>
      <c r="J11" s="184" t="str">
        <f ca="1">IF(ISERROR($V11),"",OFFSET('Smelter Look-up'!$I$4,$V11-4,0))</f>
        <v>Saitama</v>
      </c>
      <c r="K11" s="224"/>
      <c r="L11" s="224"/>
      <c r="M11" s="224"/>
      <c r="N11" s="224"/>
      <c r="O11" s="224"/>
      <c r="P11" s="185"/>
      <c r="Q11" s="225"/>
      <c r="R11" s="182" t="str">
        <f ca="1">IF(ISERROR($V11),"",OFFSET('Smelter Look-up'!$C$4,$V11-4,0)&amp;"")</f>
        <v>Kojima Chemicals Co., Ltd.</v>
      </c>
      <c r="S11" s="181" t="str">
        <f t="shared" ca="1" si="3"/>
        <v>JP</v>
      </c>
      <c r="T11" s="181" t="str">
        <f ca="1">IF(B11="","",IF(ISERROR(MATCH($J11,SorP!$B$1:$B$6279,0)),"",INDIRECT("'SorP'!$A$"&amp;MATCH($S11&amp;$J11,SorP!C:C,0))))</f>
        <v>JP-11</v>
      </c>
      <c r="U11" s="201"/>
      <c r="V11" s="226">
        <f ca="1">IF(C11="",NA(),IF(OR(C11="Smelter not listed",C11="Smelter not yet identified"),MATCH($B11&amp;$D11,'Smelter Look-up'!$J:$J,0),MATCH($B11&amp;$C11,'Smelter Look-up'!$J:$J,0)))</f>
        <v>141</v>
      </c>
      <c r="X11" s="227">
        <f t="shared" ca="1" si="4"/>
        <v>0</v>
      </c>
      <c r="AB11" s="228" t="str">
        <f t="shared" ca="1" si="5"/>
        <v>GoldKojima Chemicals Co., Ltd.</v>
      </c>
    </row>
    <row r="12" spans="1:34" s="227" customFormat="1" ht="19.899999999999999" customHeight="1">
      <c r="A12" s="262" t="s">
        <v>701</v>
      </c>
      <c r="B12" s="182" t="str">
        <f ca="1">IF(LEN(A12)=0,"",INDEX('Smelter Look-up'!$A:$A,MATCH($A12,'Smelter Look-up'!$E:$E,0)))</f>
        <v>Gold</v>
      </c>
      <c r="C12" s="186" t="str">
        <f ca="1">IF(LEN(A12)=0,"",INDEX('Smelter Look-up'!$C:$C,MATCH($A12,'Smelter Look-up'!$E:$E,0)))</f>
        <v>Materion</v>
      </c>
      <c r="D12" s="230"/>
      <c r="E12" s="182" t="str">
        <f ca="1">IF(ISERROR($V12),"",OFFSET('Smelter Look-up'!$D$4,$V12-4,0)&amp;"")</f>
        <v>UNITED STATES OF AMERICA</v>
      </c>
      <c r="F12" s="182" t="str">
        <f ca="1">IF(ISERROR($V12),"",OFFSET('Smelter Look-up'!$E$4,$V12-4,0))</f>
        <v>CID001113</v>
      </c>
      <c r="G12" s="182" t="str">
        <f ca="1">IF(C12=$X$4,IF(ISERROR($V12),"Enter smelter details","RMI"),IF(ISERROR($V12),"",OFFSET('Smelter Look-up'!$F$4,$V12-4,0)))</f>
        <v>RMI</v>
      </c>
      <c r="H12" s="183">
        <f ca="1">IF(ISERROR($V12),"",OFFSET('Smelter Look-up'!$G$4,$V12-4,0))</f>
        <v>0</v>
      </c>
      <c r="I12" s="184" t="str">
        <f ca="1">IF(ISERROR($V12),"",OFFSET('Smelter Look-up'!$H$4,$V12-4,0))</f>
        <v>Buffalo</v>
      </c>
      <c r="J12" s="184" t="str">
        <f ca="1">IF(ISERROR($V12),"",OFFSET('Smelter Look-up'!$I$4,$V12-4,0))</f>
        <v>New York</v>
      </c>
      <c r="K12" s="224"/>
      <c r="L12" s="224"/>
      <c r="M12" s="224"/>
      <c r="N12" s="224"/>
      <c r="O12" s="224"/>
      <c r="P12" s="185"/>
      <c r="Q12" s="225"/>
      <c r="R12" s="182" t="str">
        <f ca="1">IF(ISERROR($V12),"",OFFSET('Smelter Look-up'!$C$4,$V12-4,0)&amp;"")</f>
        <v>Materion</v>
      </c>
      <c r="S12" s="181" t="str">
        <f t="shared" ca="1" si="3"/>
        <v>US</v>
      </c>
      <c r="T12" s="181" t="str">
        <f ca="1">IF(B12="","",IF(ISERROR(MATCH($J12,SorP!$B$1:$B$6279,0)),"",INDIRECT("'SorP'!$A$"&amp;MATCH($S12&amp;$J12,SorP!C:C,0))))</f>
        <v>US-NY</v>
      </c>
      <c r="U12" s="201"/>
      <c r="V12" s="226">
        <f ca="1">IF(C12="",NA(),IF(OR(C12="Smelter not listed",C12="Smelter not yet identified"),MATCH($B12&amp;$D12,'Smelter Look-up'!$J:$J,0),MATCH($B12&amp;$C12,'Smelter Look-up'!$J:$J,0)))</f>
        <v>163</v>
      </c>
      <c r="X12" s="227">
        <f t="shared" ca="1" si="4"/>
        <v>0</v>
      </c>
      <c r="AB12" s="228" t="str">
        <f t="shared" ca="1" si="5"/>
        <v>GoldMaterion</v>
      </c>
    </row>
    <row r="13" spans="1:34" s="227" customFormat="1" ht="19.899999999999999" customHeight="1">
      <c r="A13" s="262" t="s">
        <v>702</v>
      </c>
      <c r="B13" s="182" t="str">
        <f ca="1">IF(LEN(A13)=0,"",INDEX('Smelter Look-up'!$A:$A,MATCH($A13,'Smelter Look-up'!$E:$E,0)))</f>
        <v>Gold</v>
      </c>
      <c r="C13" s="186" t="str">
        <f ca="1">IF(LEN(A13)=0,"",INDEX('Smelter Look-up'!$C:$C,MATCH($A13,'Smelter Look-up'!$E:$E,0)))</f>
        <v>Matsuda Sangyo Co., Ltd.</v>
      </c>
      <c r="D13" s="230"/>
      <c r="E13" s="182" t="str">
        <f ca="1">IF(ISERROR($V13),"",OFFSET('Smelter Look-up'!$D$4,$V13-4,0)&amp;"")</f>
        <v>JAPAN</v>
      </c>
      <c r="F13" s="182" t="str">
        <f ca="1">IF(ISERROR($V13),"",OFFSET('Smelter Look-up'!$E$4,$V13-4,0))</f>
        <v>CID001119</v>
      </c>
      <c r="G13" s="182" t="str">
        <f ca="1">IF(C13=$X$4,IF(ISERROR($V13),"Enter smelter details","RMI"),IF(ISERROR($V13),"",OFFSET('Smelter Look-up'!$F$4,$V13-4,0)))</f>
        <v>RMI</v>
      </c>
      <c r="H13" s="183">
        <f ca="1">IF(ISERROR($V13),"",OFFSET('Smelter Look-up'!$G$4,$V13-4,0))</f>
        <v>0</v>
      </c>
      <c r="I13" s="184" t="str">
        <f ca="1">IF(ISERROR($V13),"",OFFSET('Smelter Look-up'!$H$4,$V13-4,0))</f>
        <v>Iruma</v>
      </c>
      <c r="J13" s="184" t="str">
        <f ca="1">IF(ISERROR($V13),"",OFFSET('Smelter Look-up'!$I$4,$V13-4,0))</f>
        <v>Saitama</v>
      </c>
      <c r="K13" s="224"/>
      <c r="L13" s="224"/>
      <c r="M13" s="224"/>
      <c r="N13" s="224"/>
      <c r="O13" s="224"/>
      <c r="P13" s="185"/>
      <c r="Q13" s="225"/>
      <c r="R13" s="182" t="str">
        <f ca="1">IF(ISERROR($V13),"",OFFSET('Smelter Look-up'!$C$4,$V13-4,0)&amp;"")</f>
        <v>Matsuda Sangyo Co., Ltd.</v>
      </c>
      <c r="S13" s="181" t="str">
        <f t="shared" ca="1" si="3"/>
        <v>JP</v>
      </c>
      <c r="T13" s="181" t="str">
        <f ca="1">IF(B13="","",IF(ISERROR(MATCH($J13,SorP!$B$1:$B$6279,0)),"",INDIRECT("'SorP'!$A$"&amp;MATCH($S13&amp;$J13,SorP!C:C,0))))</f>
        <v>JP-11</v>
      </c>
      <c r="U13" s="201"/>
      <c r="V13" s="226">
        <f ca="1">IF(C13="",NA(),IF(OR(C13="Smelter not listed",C13="Smelter not yet identified"),MATCH($B13&amp;$D13,'Smelter Look-up'!$J:$J,0),MATCH($B13&amp;$C13,'Smelter Look-up'!$J:$J,0)))</f>
        <v>164</v>
      </c>
      <c r="X13" s="227">
        <f t="shared" ca="1" si="4"/>
        <v>0</v>
      </c>
      <c r="AB13" s="228" t="str">
        <f t="shared" ca="1" si="5"/>
        <v>GoldMatsuda Sangyo Co., Ltd.</v>
      </c>
    </row>
    <row r="14" spans="1:34" s="227" customFormat="1" ht="19.899999999999999" customHeight="1">
      <c r="A14" s="262" t="s">
        <v>705</v>
      </c>
      <c r="B14" s="182" t="str">
        <f ca="1">IF(LEN(A14)=0,"",INDEX('Smelter Look-up'!$A:$A,MATCH($A14,'Smelter Look-up'!$E:$E,0)))</f>
        <v>Gold</v>
      </c>
      <c r="C14" s="186" t="str">
        <f ca="1">IF(LEN(A14)=0,"",INDEX('Smelter Look-up'!$C:$C,MATCH($A14,'Smelter Look-up'!$E:$E,0)))</f>
        <v>Metalor Technologies S.A.</v>
      </c>
      <c r="D14" s="230"/>
      <c r="E14" s="182" t="str">
        <f ca="1">IF(ISERROR($V14),"",OFFSET('Smelter Look-up'!$D$4,$V14-4,0)&amp;"")</f>
        <v>SWITZERLAND</v>
      </c>
      <c r="F14" s="182" t="str">
        <f ca="1">IF(ISERROR($V14),"",OFFSET('Smelter Look-up'!$E$4,$V14-4,0))</f>
        <v>CID001153</v>
      </c>
      <c r="G14" s="182" t="str">
        <f ca="1">IF(C14=$X$4,IF(ISERROR($V14),"Enter smelter details","RMI"),IF(ISERROR($V14),"",OFFSET('Smelter Look-up'!$F$4,$V14-4,0)))</f>
        <v>RMI</v>
      </c>
      <c r="H14" s="183">
        <f ca="1">IF(ISERROR($V14),"",OFFSET('Smelter Look-up'!$G$4,$V14-4,0))</f>
        <v>0</v>
      </c>
      <c r="I14" s="184" t="str">
        <f ca="1">IF(ISERROR($V14),"",OFFSET('Smelter Look-up'!$H$4,$V14-4,0))</f>
        <v>Marin</v>
      </c>
      <c r="J14" s="184" t="str">
        <f ca="1">IF(ISERROR($V14),"",OFFSET('Smelter Look-up'!$I$4,$V14-4,0))</f>
        <v>Neuchâtel</v>
      </c>
      <c r="K14" s="224"/>
      <c r="L14" s="224"/>
      <c r="M14" s="224"/>
      <c r="N14" s="224"/>
      <c r="O14" s="224"/>
      <c r="P14" s="185"/>
      <c r="Q14" s="225"/>
      <c r="R14" s="182" t="str">
        <f ca="1">IF(ISERROR($V14),"",OFFSET('Smelter Look-up'!$C$4,$V14-4,0)&amp;"")</f>
        <v>Metalor Technologies S.A.</v>
      </c>
      <c r="S14" s="181" t="str">
        <f t="shared" ca="1" si="3"/>
        <v>CH</v>
      </c>
      <c r="T14" s="181" t="str">
        <f ca="1">IF(B14="","",IF(ISERROR(MATCH($J14,SorP!$B$1:$B$6279,0)),"",INDIRECT("'SorP'!$A$"&amp;MATCH($S14&amp;$J14,SorP!C:C,0))))</f>
        <v>CH-NE</v>
      </c>
      <c r="U14" s="201"/>
      <c r="V14" s="226">
        <f ca="1">IF(C14="",NA(),IF(OR(C14="Smelter not listed",C14="Smelter not yet identified"),MATCH($B14&amp;$D14,'Smelter Look-up'!$J:$J,0),MATCH($B14&amp;$C14,'Smelter Look-up'!$J:$J,0)))</f>
        <v>175</v>
      </c>
      <c r="X14" s="227">
        <f t="shared" ca="1" si="4"/>
        <v>0</v>
      </c>
      <c r="AB14" s="228" t="str">
        <f t="shared" ca="1" si="5"/>
        <v>GoldMetalor Technologies S.A.</v>
      </c>
    </row>
    <row r="15" spans="1:34" s="227" customFormat="1" ht="19.899999999999999" customHeight="1">
      <c r="A15" s="262" t="s">
        <v>708</v>
      </c>
      <c r="B15" s="182" t="str">
        <f ca="1">IF(LEN(A15)=0,"",INDEX('Smelter Look-up'!$A:$A,MATCH($A15,'Smelter Look-up'!$E:$E,0)))</f>
        <v>Gold</v>
      </c>
      <c r="C15" s="186" t="str">
        <f ca="1">IF(LEN(A15)=0,"",INDEX('Smelter Look-up'!$C:$C,MATCH($A15,'Smelter Look-up'!$E:$E,0)))</f>
        <v>Mitsubishi Materials Corporation</v>
      </c>
      <c r="D15" s="230"/>
      <c r="E15" s="182" t="str">
        <f ca="1">IF(ISERROR($V15),"",OFFSET('Smelter Look-up'!$D$4,$V15-4,0)&amp;"")</f>
        <v>JAPAN</v>
      </c>
      <c r="F15" s="182" t="str">
        <f ca="1">IF(ISERROR($V15),"",OFFSET('Smelter Look-up'!$E$4,$V15-4,0))</f>
        <v>CID001188</v>
      </c>
      <c r="G15" s="182" t="str">
        <f ca="1">IF(C15=$X$4,IF(ISERROR($V15),"Enter smelter details","RMI"),IF(ISERROR($V15),"",OFFSET('Smelter Look-up'!$F$4,$V15-4,0)))</f>
        <v>RMI</v>
      </c>
      <c r="H15" s="183">
        <f ca="1">IF(ISERROR($V15),"",OFFSET('Smelter Look-up'!$G$4,$V15-4,0))</f>
        <v>0</v>
      </c>
      <c r="I15" s="184" t="str">
        <f ca="1">IF(ISERROR($V15),"",OFFSET('Smelter Look-up'!$H$4,$V15-4,0))</f>
        <v>Tokyo</v>
      </c>
      <c r="J15" s="184" t="str">
        <f ca="1">IF(ISERROR($V15),"",OFFSET('Smelter Look-up'!$I$4,$V15-4,0))</f>
        <v>Tokyo</v>
      </c>
      <c r="K15" s="224"/>
      <c r="L15" s="224"/>
      <c r="M15" s="224"/>
      <c r="N15" s="224"/>
      <c r="O15" s="224"/>
      <c r="P15" s="185"/>
      <c r="Q15" s="225"/>
      <c r="R15" s="182" t="str">
        <f ca="1">IF(ISERROR($V15),"",OFFSET('Smelter Look-up'!$C$4,$V15-4,0)&amp;"")</f>
        <v>Mitsubishi Materials Corporation</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181</v>
      </c>
      <c r="X15" s="227">
        <f t="shared" ca="1" si="4"/>
        <v>0</v>
      </c>
      <c r="AB15" s="228" t="str">
        <f t="shared" ca="1" si="5"/>
        <v>GoldMitsubishi Materials Corporation</v>
      </c>
    </row>
    <row r="16" spans="1:34" s="227" customFormat="1" ht="19.899999999999999" customHeight="1">
      <c r="A16" s="262" t="s">
        <v>709</v>
      </c>
      <c r="B16" s="182" t="str">
        <f ca="1">IF(LEN(A16)=0,"",INDEX('Smelter Look-up'!$A:$A,MATCH($A16,'Smelter Look-up'!$E:$E,0)))</f>
        <v>Gold</v>
      </c>
      <c r="C16" s="186" t="str">
        <f ca="1">IF(LEN(A16)=0,"",INDEX('Smelter Look-up'!$C:$C,MATCH($A16,'Smelter Look-up'!$E:$E,0)))</f>
        <v>Mitsui Mining and Smelting Co., Ltd.</v>
      </c>
      <c r="D16" s="230"/>
      <c r="E16" s="182" t="str">
        <f ca="1">IF(ISERROR($V16),"",OFFSET('Smelter Look-up'!$D$4,$V16-4,0)&amp;"")</f>
        <v>JAPAN</v>
      </c>
      <c r="F16" s="182" t="str">
        <f ca="1">IF(ISERROR($V16),"",OFFSET('Smelter Look-up'!$E$4,$V16-4,0))</f>
        <v>CID001193</v>
      </c>
      <c r="G16" s="182" t="str">
        <f ca="1">IF(C16=$X$4,IF(ISERROR($V16),"Enter smelter details","RMI"),IF(ISERROR($V16),"",OFFSET('Smelter Look-up'!$F$4,$V16-4,0)))</f>
        <v>RMI</v>
      </c>
      <c r="H16" s="183">
        <f ca="1">IF(ISERROR($V16),"",OFFSET('Smelter Look-up'!$G$4,$V16-4,0))</f>
        <v>0</v>
      </c>
      <c r="I16" s="184" t="str">
        <f ca="1">IF(ISERROR($V16),"",OFFSET('Smelter Look-up'!$H$4,$V16-4,0))</f>
        <v>Takehara</v>
      </c>
      <c r="J16" s="184" t="str">
        <f ca="1">IF(ISERROR($V16),"",OFFSET('Smelter Look-up'!$I$4,$V16-4,0))</f>
        <v>Hiroshima</v>
      </c>
      <c r="K16" s="224"/>
      <c r="L16" s="224"/>
      <c r="M16" s="224"/>
      <c r="N16" s="224"/>
      <c r="O16" s="224"/>
      <c r="P16" s="185"/>
      <c r="Q16" s="225"/>
      <c r="R16" s="182" t="str">
        <f ca="1">IF(ISERROR($V16),"",OFFSET('Smelter Look-up'!$C$4,$V16-4,0)&amp;"")</f>
        <v>Mitsui Mining and Smelting Co., Ltd.</v>
      </c>
      <c r="S16" s="181" t="str">
        <f t="shared" ca="1" si="3"/>
        <v>JP</v>
      </c>
      <c r="T16" s="181" t="str">
        <f ca="1">IF(B16="","",IF(ISERROR(MATCH($J16,SorP!$B$1:$B$6279,0)),"",INDIRECT("'SorP'!$A$"&amp;MATCH($S16&amp;$J16,SorP!C:C,0))))</f>
        <v>JP-34</v>
      </c>
      <c r="U16" s="201"/>
      <c r="V16" s="226">
        <f ca="1">IF(C16="",NA(),IF(OR(C16="Smelter not listed",C16="Smelter not yet identified"),MATCH($B16&amp;$D16,'Smelter Look-up'!$J:$J,0),MATCH($B16&amp;$C16,'Smelter Look-up'!$J:$J,0)))</f>
        <v>183</v>
      </c>
      <c r="X16" s="227">
        <f t="shared" ca="1" si="4"/>
        <v>0</v>
      </c>
      <c r="AB16" s="228" t="str">
        <f t="shared" ca="1" si="5"/>
        <v>GoldMitsui Mining and Smelting Co., Ltd.</v>
      </c>
    </row>
    <row r="17" spans="1:28" s="227" customFormat="1" ht="19.899999999999999" customHeight="1">
      <c r="A17" s="262" t="s">
        <v>713</v>
      </c>
      <c r="B17" s="182" t="str">
        <f ca="1">IF(LEN(A17)=0,"",INDEX('Smelter Look-up'!$A:$A,MATCH($A17,'Smelter Look-up'!$E:$E,0)))</f>
        <v>Gold</v>
      </c>
      <c r="C17" s="186" t="str">
        <f ca="1">IF(LEN(A17)=0,"",INDEX('Smelter Look-up'!$C:$C,MATCH($A17,'Smelter Look-up'!$E:$E,0)))</f>
        <v>Nihon Material Co., Ltd.</v>
      </c>
      <c r="D17" s="230"/>
      <c r="E17" s="182" t="str">
        <f ca="1">IF(ISERROR($V17),"",OFFSET('Smelter Look-up'!$D$4,$V17-4,0)&amp;"")</f>
        <v>JAPAN</v>
      </c>
      <c r="F17" s="182" t="str">
        <f ca="1">IF(ISERROR($V17),"",OFFSET('Smelter Look-up'!$E$4,$V17-4,0))</f>
        <v>CID001259</v>
      </c>
      <c r="G17" s="182" t="str">
        <f ca="1">IF(C17=$X$4,IF(ISERROR($V17),"Enter smelter details","RMI"),IF(ISERROR($V17),"",OFFSET('Smelter Look-up'!$F$4,$V17-4,0)))</f>
        <v>RMI</v>
      </c>
      <c r="H17" s="183">
        <f ca="1">IF(ISERROR($V17),"",OFFSET('Smelter Look-up'!$G$4,$V17-4,0))</f>
        <v>0</v>
      </c>
      <c r="I17" s="184" t="str">
        <f ca="1">IF(ISERROR($V17),"",OFFSET('Smelter Look-up'!$H$4,$V17-4,0))</f>
        <v>Noda</v>
      </c>
      <c r="J17" s="184" t="str">
        <f ca="1">IF(ISERROR($V17),"",OFFSET('Smelter Look-up'!$I$4,$V17-4,0))</f>
        <v>Chiba</v>
      </c>
      <c r="K17" s="224"/>
      <c r="L17" s="224"/>
      <c r="M17" s="224"/>
      <c r="N17" s="224"/>
      <c r="O17" s="224"/>
      <c r="P17" s="185"/>
      <c r="Q17" s="225"/>
      <c r="R17" s="182" t="str">
        <f ca="1">IF(ISERROR($V17),"",OFFSET('Smelter Look-up'!$C$4,$V17-4,0)&amp;"")</f>
        <v>Nihon Material Co., Ltd.</v>
      </c>
      <c r="S17" s="181" t="str">
        <f t="shared" ca="1" si="3"/>
        <v>JP</v>
      </c>
      <c r="T17" s="181" t="str">
        <f ca="1">IF(B17="","",IF(ISERROR(MATCH($J17,SorP!$B$1:$B$6279,0)),"",INDIRECT("'SorP'!$A$"&amp;MATCH($S17&amp;$J17,SorP!C:C,0))))</f>
        <v>JP-12</v>
      </c>
      <c r="U17" s="201"/>
      <c r="V17" s="226">
        <f ca="1">IF(C17="",NA(),IF(OR(C17="Smelter not listed",C17="Smelter not yet identified"),MATCH($B17&amp;$D17,'Smelter Look-up'!$J:$J,0),MATCH($B17&amp;$C17,'Smelter Look-up'!$J:$J,0)))</f>
        <v>193</v>
      </c>
      <c r="X17" s="227">
        <f t="shared" ca="1" si="4"/>
        <v>0</v>
      </c>
      <c r="AB17" s="228" t="str">
        <f t="shared" ca="1" si="5"/>
        <v>GoldNihon Material Co., Ltd.</v>
      </c>
    </row>
    <row r="18" spans="1:28" s="227" customFormat="1" ht="19.899999999999999" customHeight="1">
      <c r="A18" s="181" t="s">
        <v>716</v>
      </c>
      <c r="B18" s="182" t="str">
        <f ca="1">IF(LEN(A18)=0,"",INDEX('Smelter Look-up'!$A:$A,MATCH($A18,'Smelter Look-up'!$E:$E,0)))</f>
        <v>Gold</v>
      </c>
      <c r="C18" s="186" t="str">
        <f ca="1">IF(LEN(A18)=0,"",INDEX('Smelter Look-up'!$C:$C,MATCH($A18,'Smelter Look-up'!$E:$E,0)))</f>
        <v>MKS PAMP SA</v>
      </c>
      <c r="D18" s="230"/>
      <c r="E18" s="182" t="str">
        <f ca="1">IF(ISERROR($V18),"",OFFSET('Smelter Look-up'!$D$4,$V18-4,0)&amp;"")</f>
        <v>SWITZERLAND</v>
      </c>
      <c r="F18" s="182" t="str">
        <f ca="1">IF(ISERROR($V18),"",OFFSET('Smelter Look-up'!$E$4,$V18-4,0))</f>
        <v>CID001352</v>
      </c>
      <c r="G18" s="182" t="str">
        <f ca="1">IF(C18=$X$4,IF(ISERROR($V18),"Enter smelter details","RMI"),IF(ISERROR($V18),"",OFFSET('Smelter Look-up'!$F$4,$V18-4,0)))</f>
        <v>RMI</v>
      </c>
      <c r="H18" s="183">
        <f ca="1">IF(ISERROR($V18),"",OFFSET('Smelter Look-up'!$G$4,$V18-4,0))</f>
        <v>0</v>
      </c>
      <c r="I18" s="184" t="str">
        <f ca="1">IF(ISERROR($V18),"",OFFSET('Smelter Look-up'!$H$4,$V18-4,0))</f>
        <v>Geneva</v>
      </c>
      <c r="J18" s="184" t="str">
        <f ca="1">IF(ISERROR($V18),"",OFFSET('Smelter Look-up'!$I$4,$V18-4,0))</f>
        <v>Genève</v>
      </c>
      <c r="K18" s="224"/>
      <c r="L18" s="224"/>
      <c r="M18" s="224"/>
      <c r="N18" s="224"/>
      <c r="O18" s="224"/>
      <c r="P18" s="185"/>
      <c r="Q18" s="225"/>
      <c r="R18" s="182" t="str">
        <f ca="1">IF(ISERROR($V18),"",OFFSET('Smelter Look-up'!$C$4,$V18-4,0)&amp;"")</f>
        <v>MKS PAMP SA</v>
      </c>
      <c r="S18" s="181" t="str">
        <f t="shared" ca="1" si="3"/>
        <v>CH</v>
      </c>
      <c r="T18" s="181" t="str">
        <f ca="1">IF(B18="","",IF(ISERROR(MATCH($J18,SorP!$B$1:$B$6279,0)),"",INDIRECT("'SorP'!$A$"&amp;MATCH($S18&amp;$J18,SorP!C:C,0))))</f>
        <v>CH-GE</v>
      </c>
      <c r="U18" s="201"/>
      <c r="V18" s="226">
        <f ca="1">IF(C18="",NA(),IF(OR(C18="Smelter not listed",C18="Smelter not yet identified"),MATCH($B18&amp;$D18,'Smelter Look-up'!$J:$J,0),MATCH($B18&amp;$C18,'Smelter Look-up'!$J:$J,0)))</f>
        <v>184</v>
      </c>
      <c r="X18" s="227">
        <f t="shared" ca="1" si="4"/>
        <v>0</v>
      </c>
      <c r="AB18" s="228" t="str">
        <f t="shared" ca="1" si="5"/>
        <v>GoldMKS PAMP SA</v>
      </c>
    </row>
    <row r="19" spans="1:28" s="227" customFormat="1" ht="20.25">
      <c r="A19" s="181" t="s">
        <v>720</v>
      </c>
      <c r="B19" s="182" t="str">
        <f ca="1">IF(LEN(A19)=0,"",INDEX('Smelter Look-up'!$A:$A,MATCH($A19,'Smelter Look-up'!$E:$E,0)))</f>
        <v>Gold</v>
      </c>
      <c r="C19" s="186" t="str">
        <f ca="1">IF(LEN(A19)=0,"",INDEX('Smelter Look-up'!$C:$C,MATCH($A19,'Smelter Look-up'!$E:$E,0)))</f>
        <v>PX Precinox S.A.</v>
      </c>
      <c r="D19" s="230"/>
      <c r="E19" s="182" t="str">
        <f ca="1">IF(ISERROR($V19),"",OFFSET('Smelter Look-up'!$D$4,$V19-4,0)&amp;"")</f>
        <v>SWITZERLAND</v>
      </c>
      <c r="F19" s="182" t="str">
        <f ca="1">IF(ISERROR($V19),"",OFFSET('Smelter Look-up'!$E$4,$V19-4,0))</f>
        <v>CID001498</v>
      </c>
      <c r="G19" s="182" t="str">
        <f ca="1">IF(C19=$X$4,IF(ISERROR($V19),"Enter smelter details","RMI"),IF(ISERROR($V19),"",OFFSET('Smelter Look-up'!$F$4,$V19-4,0)))</f>
        <v>RMI</v>
      </c>
      <c r="H19" s="183">
        <f ca="1">IF(ISERROR($V19),"",OFFSET('Smelter Look-up'!$G$4,$V19-4,0))</f>
        <v>0</v>
      </c>
      <c r="I19" s="184" t="str">
        <f ca="1">IF(ISERROR($V19),"",OFFSET('Smelter Look-up'!$H$4,$V19-4,0))</f>
        <v>La Chaux-de-Fonds</v>
      </c>
      <c r="J19" s="184" t="str">
        <f ca="1">IF(ISERROR($V19),"",OFFSET('Smelter Look-up'!$I$4,$V19-4,0))</f>
        <v>Neuchâtel</v>
      </c>
      <c r="K19" s="224"/>
      <c r="L19" s="224"/>
      <c r="M19" s="224"/>
      <c r="N19" s="224"/>
      <c r="O19" s="224"/>
      <c r="P19" s="185"/>
      <c r="Q19" s="225"/>
      <c r="R19" s="182" t="str">
        <f ca="1">IF(ISERROR($V19),"",OFFSET('Smelter Look-up'!$C$4,$V19-4,0)&amp;"")</f>
        <v>PX Precinox S.A.</v>
      </c>
      <c r="S19" s="181" t="str">
        <f t="shared" ca="1" si="3"/>
        <v>CH</v>
      </c>
      <c r="T19" s="181" t="str">
        <f ca="1">IF(B19="","",IF(ISERROR(MATCH($J19,SorP!$B$1:$B$6279,0)),"",INDIRECT("'SorP'!$A$"&amp;MATCH($S19&amp;$J19,SorP!C:C,0))))</f>
        <v>CH-NE</v>
      </c>
      <c r="U19" s="201"/>
      <c r="V19" s="226">
        <f ca="1">IF(C19="",NA(),IF(OR(C19="Smelter not listed",C19="Smelter not yet identified"),MATCH($B19&amp;$D19,'Smelter Look-up'!$J:$J,0),MATCH($B19&amp;$C19,'Smelter Look-up'!$J:$J,0)))</f>
        <v>212</v>
      </c>
      <c r="X19" s="227">
        <f t="shared" ca="1" si="4"/>
        <v>0</v>
      </c>
      <c r="AB19" s="228" t="str">
        <f t="shared" ca="1" si="5"/>
        <v>GoldPX Precinox S.A.</v>
      </c>
    </row>
    <row r="20" spans="1:28" s="227" customFormat="1" ht="20.25">
      <c r="A20" s="181" t="s">
        <v>722</v>
      </c>
      <c r="B20" s="182" t="str">
        <f ca="1">IF(LEN(A20)=0,"",INDEX('Smelter Look-up'!$A:$A,MATCH($A20,'Smelter Look-up'!$E:$E,0)))</f>
        <v>Gold</v>
      </c>
      <c r="C20" s="186" t="str">
        <f ca="1">IF(LEN(A20)=0,"",INDEX('Smelter Look-up'!$C:$C,MATCH($A20,'Smelter Look-up'!$E:$E,0)))</f>
        <v>Royal Canadian Mint</v>
      </c>
      <c r="D20" s="230"/>
      <c r="E20" s="182" t="str">
        <f ca="1">IF(ISERROR($V20),"",OFFSET('Smelter Look-up'!$D$4,$V20-4,0)&amp;"")</f>
        <v>CANADA</v>
      </c>
      <c r="F20" s="182" t="str">
        <f ca="1">IF(ISERROR($V20),"",OFFSET('Smelter Look-up'!$E$4,$V20-4,0))</f>
        <v>CID001534</v>
      </c>
      <c r="G20" s="182" t="str">
        <f ca="1">IF(C20=$X$4,IF(ISERROR($V20),"Enter smelter details","RMI"),IF(ISERROR($V20),"",OFFSET('Smelter Look-up'!$F$4,$V20-4,0)))</f>
        <v>RMI</v>
      </c>
      <c r="H20" s="183">
        <f ca="1">IF(ISERROR($V20),"",OFFSET('Smelter Look-up'!$G$4,$V20-4,0))</f>
        <v>0</v>
      </c>
      <c r="I20" s="184" t="str">
        <f ca="1">IF(ISERROR($V20),"",OFFSET('Smelter Look-up'!$H$4,$V20-4,0))</f>
        <v>Ottawa</v>
      </c>
      <c r="J20" s="184" t="str">
        <f ca="1">IF(ISERROR($V20),"",OFFSET('Smelter Look-up'!$I$4,$V20-4,0))</f>
        <v>Ontario</v>
      </c>
      <c r="K20" s="224"/>
      <c r="L20" s="224"/>
      <c r="M20" s="224"/>
      <c r="N20" s="224"/>
      <c r="O20" s="224"/>
      <c r="P20" s="185"/>
      <c r="Q20" s="225"/>
      <c r="R20" s="182" t="str">
        <f ca="1">IF(ISERROR($V20),"",OFFSET('Smelter Look-up'!$C$4,$V20-4,0)&amp;"")</f>
        <v>Royal Canadian Mint</v>
      </c>
      <c r="S20" s="181" t="str">
        <f t="shared" ca="1" si="3"/>
        <v>CA</v>
      </c>
      <c r="T20" s="181" t="str">
        <f ca="1">IF(B20="","",IF(ISERROR(MATCH($J20,SorP!$B$1:$B$6279,0)),"",INDIRECT("'SorP'!$A$"&amp;MATCH($S20&amp;$J20,SorP!C:C,0))))</f>
        <v>CA-ON</v>
      </c>
      <c r="U20" s="201"/>
      <c r="V20" s="226">
        <f ca="1">IF(C20="",NA(),IF(OR(C20="Smelter not listed",C20="Smelter not yet identified"),MATCH($B20&amp;$D20,'Smelter Look-up'!$J:$J,0),MATCH($B20&amp;$C20,'Smelter Look-up'!$J:$J,0)))</f>
        <v>220</v>
      </c>
      <c r="X20" s="227">
        <f t="shared" ca="1" si="4"/>
        <v>0</v>
      </c>
      <c r="AB20" s="228" t="str">
        <f t="shared" ca="1" si="5"/>
        <v>GoldRoyal Canadian Mint</v>
      </c>
    </row>
    <row r="21" spans="1:28" s="227" customFormat="1" ht="20.25">
      <c r="A21" s="181" t="s">
        <v>729</v>
      </c>
      <c r="B21" s="182" t="str">
        <f ca="1">IF(LEN(A21)=0,"",INDEX('Smelter Look-up'!$A:$A,MATCH($A21,'Smelter Look-up'!$E:$E,0)))</f>
        <v>Gold</v>
      </c>
      <c r="C21" s="186" t="str">
        <f ca="1">IF(LEN(A21)=0,"",INDEX('Smelter Look-up'!$C:$C,MATCH($A21,'Smelter Look-up'!$E:$E,0)))</f>
        <v>Sumitomo Metal Mining Co., Ltd.</v>
      </c>
      <c r="D21" s="230"/>
      <c r="E21" s="182" t="str">
        <f ca="1">IF(ISERROR($V21),"",OFFSET('Smelter Look-up'!$D$4,$V21-4,0)&amp;"")</f>
        <v>JAPAN</v>
      </c>
      <c r="F21" s="182" t="str">
        <f ca="1">IF(ISERROR($V21),"",OFFSET('Smelter Look-up'!$E$4,$V21-4,0))</f>
        <v>CID001798</v>
      </c>
      <c r="G21" s="182" t="str">
        <f ca="1">IF(C21=$X$4,IF(ISERROR($V21),"Enter smelter details","RMI"),IF(ISERROR($V21),"",OFFSET('Smelter Look-up'!$F$4,$V21-4,0)))</f>
        <v>RMI</v>
      </c>
      <c r="H21" s="183">
        <f ca="1">IF(ISERROR($V21),"",OFFSET('Smelter Look-up'!$G$4,$V21-4,0))</f>
        <v>0</v>
      </c>
      <c r="I21" s="184" t="str">
        <f ca="1">IF(ISERROR($V21),"",OFFSET('Smelter Look-up'!$H$4,$V21-4,0))</f>
        <v>Saijo</v>
      </c>
      <c r="J21" s="184" t="str">
        <f ca="1">IF(ISERROR($V21),"",OFFSET('Smelter Look-up'!$I$4,$V21-4,0))</f>
        <v>Ehime</v>
      </c>
      <c r="K21" s="224"/>
      <c r="L21" s="224"/>
      <c r="M21" s="224"/>
      <c r="N21" s="224"/>
      <c r="O21" s="224"/>
      <c r="P21" s="185"/>
      <c r="Q21" s="225"/>
      <c r="R21" s="182" t="str">
        <f ca="1">IF(ISERROR($V21),"",OFFSET('Smelter Look-up'!$C$4,$V21-4,0)&amp;"")</f>
        <v>Sumitomo Metal Mining Co., Ltd.</v>
      </c>
      <c r="S21" s="181" t="str">
        <f t="shared" ca="1" si="3"/>
        <v>JP</v>
      </c>
      <c r="T21" s="181" t="str">
        <f ca="1">IF(B21="","",IF(ISERROR(MATCH($J21,SorP!$B$1:$B$6279,0)),"",INDIRECT("'SorP'!$A$"&amp;MATCH($S21&amp;$J21,SorP!C:C,0))))</f>
        <v>JP-38</v>
      </c>
      <c r="U21" s="201"/>
      <c r="V21" s="226">
        <f ca="1">IF(C21="",NA(),IF(OR(C21="Smelter not listed",C21="Smelter not yet identified"),MATCH($B21&amp;$D21,'Smelter Look-up'!$J:$J,0),MATCH($B21&amp;$C21,'Smelter Look-up'!$J:$J,0)))</f>
        <v>265</v>
      </c>
      <c r="X21" s="227">
        <f t="shared" ca="1" si="4"/>
        <v>0</v>
      </c>
      <c r="AB21" s="228" t="str">
        <f t="shared" ca="1" si="5"/>
        <v>GoldSumitomo Metal Mining Co., Ltd.</v>
      </c>
    </row>
    <row r="22" spans="1:28" s="227" customFormat="1" ht="20.25">
      <c r="A22" s="181" t="s">
        <v>730</v>
      </c>
      <c r="B22" s="182" t="str">
        <f ca="1">IF(LEN(A22)=0,"",INDEX('Smelter Look-up'!$A:$A,MATCH($A22,'Smelter Look-up'!$E:$E,0)))</f>
        <v>Gold</v>
      </c>
      <c r="C22" s="186" t="str">
        <f ca="1">IF(LEN(A22)=0,"",INDEX('Smelter Look-up'!$C:$C,MATCH($A22,'Smelter Look-up'!$E:$E,0)))</f>
        <v>Tanaka Kikinzoku Kogyo K.K.</v>
      </c>
      <c r="D22" s="230"/>
      <c r="E22" s="182" t="str">
        <f ca="1">IF(ISERROR($V22),"",OFFSET('Smelter Look-up'!$D$4,$V22-4,0)&amp;"")</f>
        <v>JAPAN</v>
      </c>
      <c r="F22" s="182" t="str">
        <f ca="1">IF(ISERROR($V22),"",OFFSET('Smelter Look-up'!$E$4,$V22-4,0))</f>
        <v>CID001875</v>
      </c>
      <c r="G22" s="182" t="str">
        <f ca="1">IF(C22=$X$4,IF(ISERROR($V22),"Enter smelter details","RMI"),IF(ISERROR($V22),"",OFFSET('Smelter Look-up'!$F$4,$V22-4,0)))</f>
        <v>RMI</v>
      </c>
      <c r="H22" s="183">
        <f ca="1">IF(ISERROR($V22),"",OFFSET('Smelter Look-up'!$G$4,$V22-4,0))</f>
        <v>0</v>
      </c>
      <c r="I22" s="184" t="str">
        <f ca="1">IF(ISERROR($V22),"",OFFSET('Smelter Look-up'!$H$4,$V22-4,0))</f>
        <v>Hiratsuka</v>
      </c>
      <c r="J22" s="184" t="str">
        <f ca="1">IF(ISERROR($V22),"",OFFSET('Smelter Look-up'!$I$4,$V22-4,0))</f>
        <v>Kanagawa</v>
      </c>
      <c r="K22" s="224"/>
      <c r="L22" s="224"/>
      <c r="M22" s="224"/>
      <c r="N22" s="224"/>
      <c r="O22" s="224"/>
      <c r="P22" s="185"/>
      <c r="Q22" s="225"/>
      <c r="R22" s="182" t="str">
        <f ca="1">IF(ISERROR($V22),"",OFFSET('Smelter Look-up'!$C$4,$V22-4,0)&amp;"")</f>
        <v>Tanaka Kikinzoku Kogyo K.K.</v>
      </c>
      <c r="S22" s="181" t="str">
        <f t="shared" ca="1" si="3"/>
        <v>JP</v>
      </c>
      <c r="T22" s="181" t="str">
        <f ca="1">IF(B22="","",IF(ISERROR(MATCH($J22,SorP!$B$1:$B$6279,0)),"",INDIRECT("'SorP'!$A$"&amp;MATCH($S22&amp;$J22,SorP!C:C,0))))</f>
        <v>JP-14</v>
      </c>
      <c r="U22" s="201"/>
      <c r="V22" s="226">
        <f ca="1">IF(C22="",NA(),IF(OR(C22="Smelter not listed",C22="Smelter not yet identified"),MATCH($B22&amp;$D22,'Smelter Look-up'!$J:$J,0),MATCH($B22&amp;$C22,'Smelter Look-up'!$J:$J,0)))</f>
        <v>278</v>
      </c>
      <c r="X22" s="227">
        <f t="shared" ca="1" si="4"/>
        <v>0</v>
      </c>
      <c r="AB22" s="228" t="str">
        <f t="shared" ca="1" si="5"/>
        <v>GoldTanaka Kikinzoku Kogyo K.K.</v>
      </c>
    </row>
    <row r="23" spans="1:28" s="227" customFormat="1" ht="20.25">
      <c r="A23" s="181" t="s">
        <v>733</v>
      </c>
      <c r="B23" s="182" t="str">
        <f ca="1">IF(LEN(A23)=0,"",INDEX('Smelter Look-up'!$A:$A,MATCH($A23,'Smelter Look-up'!$E:$E,0)))</f>
        <v>Gold</v>
      </c>
      <c r="C23" s="186" t="str">
        <f ca="1">IF(LEN(A23)=0,"",INDEX('Smelter Look-up'!$C:$C,MATCH($A23,'Smelter Look-up'!$E:$E,0)))</f>
        <v>Tokuriki Honten Co., Ltd.</v>
      </c>
      <c r="D23" s="230"/>
      <c r="E23" s="182" t="str">
        <f ca="1">IF(ISERROR($V23),"",OFFSET('Smelter Look-up'!$D$4,$V23-4,0)&amp;"")</f>
        <v>JAPAN</v>
      </c>
      <c r="F23" s="182" t="str">
        <f ca="1">IF(ISERROR($V23),"",OFFSET('Smelter Look-up'!$E$4,$V23-4,0))</f>
        <v>CID001938</v>
      </c>
      <c r="G23" s="182" t="str">
        <f ca="1">IF(C23=$X$4,IF(ISERROR($V23),"Enter smelter details","RMI"),IF(ISERROR($V23),"",OFFSET('Smelter Look-up'!$F$4,$V23-4,0)))</f>
        <v>RMI</v>
      </c>
      <c r="H23" s="183">
        <f ca="1">IF(ISERROR($V23),"",OFFSET('Smelter Look-up'!$G$4,$V23-4,0))</f>
        <v>0</v>
      </c>
      <c r="I23" s="184" t="str">
        <f ca="1">IF(ISERROR($V23),"",OFFSET('Smelter Look-up'!$H$4,$V23-4,0))</f>
        <v>Kuki</v>
      </c>
      <c r="J23" s="184" t="str">
        <f ca="1">IF(ISERROR($V23),"",OFFSET('Smelter Look-up'!$I$4,$V23-4,0))</f>
        <v>Saitama</v>
      </c>
      <c r="K23" s="224"/>
      <c r="L23" s="224"/>
      <c r="M23" s="224"/>
      <c r="N23" s="224"/>
      <c r="O23" s="224"/>
      <c r="P23" s="185"/>
      <c r="Q23" s="225"/>
      <c r="R23" s="182" t="str">
        <f ca="1">IF(ISERROR($V23),"",OFFSET('Smelter Look-up'!$C$4,$V23-4,0)&amp;"")</f>
        <v>Tokuriki Honten Co., Ltd.</v>
      </c>
      <c r="S23" s="181" t="str">
        <f t="shared" ca="1" si="3"/>
        <v>JP</v>
      </c>
      <c r="T23" s="181" t="str">
        <f ca="1">IF(B23="","",IF(ISERROR(MATCH($J23,SorP!$B$1:$B$6279,0)),"",INDIRECT("'SorP'!$A$"&amp;MATCH($S23&amp;$J23,SorP!C:C,0))))</f>
        <v>JP-11</v>
      </c>
      <c r="U23" s="201"/>
      <c r="V23" s="226">
        <f ca="1">IF(C23="",NA(),IF(OR(C23="Smelter not listed",C23="Smelter not yet identified"),MATCH($B23&amp;$D23,'Smelter Look-up'!$J:$J,0),MATCH($B23&amp;$C23,'Smelter Look-up'!$J:$J,0)))</f>
        <v>283</v>
      </c>
      <c r="X23" s="227">
        <f t="shared" ca="1" si="4"/>
        <v>0</v>
      </c>
      <c r="AB23" s="228" t="str">
        <f t="shared" ca="1" si="5"/>
        <v>GoldTokuriki Honten Co., Ltd.</v>
      </c>
    </row>
    <row r="24" spans="1:28" s="227" customFormat="1" ht="20.25">
      <c r="A24" s="181" t="s">
        <v>771</v>
      </c>
      <c r="B24" s="182" t="str">
        <f ca="1">IF(LEN(A24)=0,"",INDEX('Smelter Look-up'!$A:$A,MATCH($A24,'Smelter Look-up'!$E:$E,0)))</f>
        <v>Tin</v>
      </c>
      <c r="C24" s="186" t="str">
        <f ca="1">IF(LEN(A24)=0,"",INDEX('Smelter Look-up'!$C:$C,MATCH($A24,'Smelter Look-up'!$E:$E,0)))</f>
        <v>Malaysia Smelting Corporation (MSC)</v>
      </c>
      <c r="D24" s="230"/>
      <c r="E24" s="182" t="str">
        <f ca="1">IF(ISERROR($V24),"",OFFSET('Smelter Look-up'!$D$4,$V24-4,0)&amp;"")</f>
        <v>MALAYSIA</v>
      </c>
      <c r="F24" s="182" t="str">
        <f ca="1">IF(ISERROR($V24),"",OFFSET('Smelter Look-up'!$E$4,$V24-4,0))</f>
        <v>CID001105</v>
      </c>
      <c r="G24" s="182" t="str">
        <f ca="1">IF(C24=$X$4,IF(ISERROR($V24),"Enter smelter details","RMI"),IF(ISERROR($V24),"",OFFSET('Smelter Look-up'!$F$4,$V24-4,0)))</f>
        <v>RMI</v>
      </c>
      <c r="H24" s="183">
        <f ca="1">IF(ISERROR($V24),"",OFFSET('Smelter Look-up'!$G$4,$V24-4,0))</f>
        <v>0</v>
      </c>
      <c r="I24" s="184" t="str">
        <f ca="1">IF(ISERROR($V24),"",OFFSET('Smelter Look-up'!$H$4,$V24-4,0))</f>
        <v>Butterworth</v>
      </c>
      <c r="J24" s="184" t="str">
        <f ca="1">IF(ISERROR($V24),"",OFFSET('Smelter Look-up'!$I$4,$V24-4,0))</f>
        <v>Pulau Pinang</v>
      </c>
      <c r="K24" s="224"/>
      <c r="L24" s="224"/>
      <c r="M24" s="224"/>
      <c r="N24" s="224"/>
      <c r="O24" s="224"/>
      <c r="P24" s="185"/>
      <c r="Q24" s="225"/>
      <c r="R24" s="182" t="str">
        <f ca="1">IF(ISERROR($V24),"",OFFSET('Smelter Look-up'!$C$4,$V24-4,0)&amp;"")</f>
        <v>Malaysia Smelting Corporation (MSC)</v>
      </c>
      <c r="S24" s="181" t="str">
        <f t="shared" ca="1" si="3"/>
        <v>MY</v>
      </c>
      <c r="T24" s="181" t="str">
        <f ca="1">IF(B24="","",IF(ISERROR(MATCH($J24,SorP!$B$1:$B$6279,0)),"",INDIRECT("'SorP'!$A$"&amp;MATCH($S24&amp;$J24,SorP!C:C,0))))</f>
        <v>MY-07</v>
      </c>
      <c r="U24" s="201"/>
      <c r="V24" s="226">
        <f ca="1">IF(C24="",NA(),IF(OR(C24="Smelter not listed",C24="Smelter not yet identified"),MATCH($B24&amp;$D24,'Smelter Look-up'!$J:$J,0),MATCH($B24&amp;$C24,'Smelter Look-up'!$J:$J,0)))</f>
        <v>458</v>
      </c>
      <c r="X24" s="227">
        <f t="shared" ca="1" si="4"/>
        <v>0</v>
      </c>
      <c r="AB24" s="228" t="str">
        <f t="shared" ca="1" si="5"/>
        <v>TinMalaysia Smelting Corporation (MSC)</v>
      </c>
    </row>
    <row r="25" spans="1:28" s="227" customFormat="1" ht="20.25">
      <c r="A25" s="181" t="s">
        <v>772</v>
      </c>
      <c r="B25" s="182" t="str">
        <f ca="1">IF(LEN(A25)=0,"",INDEX('Smelter Look-up'!$A:$A,MATCH($A25,'Smelter Look-up'!$E:$E,0)))</f>
        <v>Tin</v>
      </c>
      <c r="C25" s="186" t="str">
        <f ca="1">IF(LEN(A25)=0,"",INDEX('Smelter Look-up'!$C:$C,MATCH($A25,'Smelter Look-up'!$E:$E,0)))</f>
        <v>Mineracao Taboca S.A.</v>
      </c>
      <c r="D25" s="230"/>
      <c r="E25" s="182" t="str">
        <f ca="1">IF(ISERROR($V25),"",OFFSET('Smelter Look-up'!$D$4,$V25-4,0)&amp;"")</f>
        <v>BRAZIL</v>
      </c>
      <c r="F25" s="182" t="str">
        <f ca="1">IF(ISERROR($V25),"",OFFSET('Smelter Look-up'!$E$4,$V25-4,0))</f>
        <v>CID001173</v>
      </c>
      <c r="G25" s="182" t="str">
        <f ca="1">IF(C25=$X$4,IF(ISERROR($V25),"Enter smelter details","RMI"),IF(ISERROR($V25),"",OFFSET('Smelter Look-up'!$F$4,$V25-4,0)))</f>
        <v>RMI</v>
      </c>
      <c r="H25" s="183">
        <f ca="1">IF(ISERROR($V25),"",OFFSET('Smelter Look-up'!$G$4,$V25-4,0))</f>
        <v>0</v>
      </c>
      <c r="I25" s="184" t="str">
        <f ca="1">IF(ISERROR($V25),"",OFFSET('Smelter Look-up'!$H$4,$V25-4,0))</f>
        <v>Bairro Guarapiranga</v>
      </c>
      <c r="J25" s="184" t="str">
        <f ca="1">IF(ISERROR($V25),"",OFFSET('Smelter Look-up'!$I$4,$V25-4,0))</f>
        <v>São Paulo</v>
      </c>
      <c r="K25" s="224"/>
      <c r="L25" s="224"/>
      <c r="M25" s="224"/>
      <c r="N25" s="224"/>
      <c r="O25" s="224"/>
      <c r="P25" s="185"/>
      <c r="Q25" s="225"/>
      <c r="R25" s="182" t="str">
        <f ca="1">IF(ISERROR($V25),"",OFFSET('Smelter Look-up'!$C$4,$V25-4,0)&amp;"")</f>
        <v>Mineracao Taboca S.A.</v>
      </c>
      <c r="S25" s="181" t="str">
        <f t="shared" ca="1" si="3"/>
        <v>BR</v>
      </c>
      <c r="T25" s="181" t="str">
        <f ca="1">IF(B25="","",IF(ISERROR(MATCH($J25,SorP!$B$1:$B$6279,0)),"",INDIRECT("'SorP'!$A$"&amp;MATCH($S25&amp;$J25,SorP!C:C,0))))</f>
        <v>BR-SP</v>
      </c>
      <c r="U25" s="201"/>
      <c r="V25" s="226">
        <f ca="1">IF(C25="",NA(),IF(OR(C25="Smelter not listed",C25="Smelter not yet identified"),MATCH($B25&amp;$D25,'Smelter Look-up'!$J:$J,0),MATCH($B25&amp;$C25,'Smelter Look-up'!$J:$J,0)))</f>
        <v>465</v>
      </c>
      <c r="X25" s="227">
        <f t="shared" ca="1" si="4"/>
        <v>0</v>
      </c>
      <c r="AB25" s="228" t="str">
        <f t="shared" ca="1" si="5"/>
        <v>TinMineracao Taboca S.A.</v>
      </c>
    </row>
    <row r="26" spans="1:28" s="227" customFormat="1" ht="20.25">
      <c r="A26" s="181" t="s">
        <v>773</v>
      </c>
      <c r="B26" s="182" t="str">
        <f ca="1">IF(LEN(A26)=0,"",INDEX('Smelter Look-up'!$A:$A,MATCH($A26,'Smelter Look-up'!$E:$E,0)))</f>
        <v>Tin</v>
      </c>
      <c r="C26" s="186" t="str">
        <f ca="1">IF(LEN(A26)=0,"",INDEX('Smelter Look-up'!$C:$C,MATCH($A26,'Smelter Look-up'!$E:$E,0)))</f>
        <v>Minsur</v>
      </c>
      <c r="D26" s="230"/>
      <c r="E26" s="182" t="str">
        <f ca="1">IF(ISERROR($V26),"",OFFSET('Smelter Look-up'!$D$4,$V26-4,0)&amp;"")</f>
        <v>PERU</v>
      </c>
      <c r="F26" s="182" t="str">
        <f ca="1">IF(ISERROR($V26),"",OFFSET('Smelter Look-up'!$E$4,$V26-4,0))</f>
        <v>CID001182</v>
      </c>
      <c r="G26" s="182" t="str">
        <f ca="1">IF(C26=$X$4,IF(ISERROR($V26),"Enter smelter details","RMI"),IF(ISERROR($V26),"",OFFSET('Smelter Look-up'!$F$4,$V26-4,0)))</f>
        <v>RMI</v>
      </c>
      <c r="H26" s="183">
        <f ca="1">IF(ISERROR($V26),"",OFFSET('Smelter Look-up'!$G$4,$V26-4,0))</f>
        <v>0</v>
      </c>
      <c r="I26" s="184" t="str">
        <f ca="1">IF(ISERROR($V26),"",OFFSET('Smelter Look-up'!$H$4,$V26-4,0))</f>
        <v>Paracas</v>
      </c>
      <c r="J26" s="184" t="str">
        <f ca="1">IF(ISERROR($V26),"",OFFSET('Smelter Look-up'!$I$4,$V26-4,0))</f>
        <v>Ika</v>
      </c>
      <c r="K26" s="224"/>
      <c r="L26" s="224"/>
      <c r="M26" s="224"/>
      <c r="N26" s="224"/>
      <c r="O26" s="224"/>
      <c r="P26" s="185"/>
      <c r="Q26" s="225"/>
      <c r="R26" s="182" t="str">
        <f ca="1">IF(ISERROR($V26),"",OFFSET('Smelter Look-up'!$C$4,$V26-4,0)&amp;"")</f>
        <v>Minsur</v>
      </c>
      <c r="S26" s="181" t="str">
        <f t="shared" ca="1" si="3"/>
        <v>PE</v>
      </c>
      <c r="T26" s="181" t="str">
        <f ca="1">IF(B26="","",IF(ISERROR(MATCH($J26,SorP!$B$1:$B$6279,0)),"",INDIRECT("'SorP'!$A$"&amp;MATCH($S26&amp;$J26,SorP!C:C,0))))</f>
        <v>PE-ICA</v>
      </c>
      <c r="U26" s="201"/>
      <c r="V26" s="226">
        <f ca="1">IF(C26="",NA(),IF(OR(C26="Smelter not listed",C26="Smelter not yet identified"),MATCH($B26&amp;$D26,'Smelter Look-up'!$J:$J,0),MATCH($B26&amp;$C26,'Smelter Look-up'!$J:$J,0)))</f>
        <v>470</v>
      </c>
      <c r="X26" s="227">
        <f t="shared" ca="1" si="4"/>
        <v>0</v>
      </c>
      <c r="AB26" s="228" t="str">
        <f t="shared" ca="1" si="5"/>
        <v>TinMinsur</v>
      </c>
    </row>
    <row r="27" spans="1:28" s="227" customFormat="1" ht="20.25">
      <c r="A27" s="181" t="s">
        <v>774</v>
      </c>
      <c r="B27" s="182" t="str">
        <f ca="1">IF(LEN(A27)=0,"",INDEX('Smelter Look-up'!$A:$A,MATCH($A27,'Smelter Look-up'!$E:$E,0)))</f>
        <v>Tin</v>
      </c>
      <c r="C27" s="186" t="str">
        <f ca="1">IF(LEN(A27)=0,"",INDEX('Smelter Look-up'!$C:$C,MATCH($A27,'Smelter Look-up'!$E:$E,0)))</f>
        <v>Mitsubishi Materials Corporation</v>
      </c>
      <c r="D27" s="230"/>
      <c r="E27" s="182" t="str">
        <f ca="1">IF(ISERROR($V27),"",OFFSET('Smelter Look-up'!$D$4,$V27-4,0)&amp;"")</f>
        <v>JAPAN</v>
      </c>
      <c r="F27" s="182" t="str">
        <f ca="1">IF(ISERROR($V27),"",OFFSET('Smelter Look-up'!$E$4,$V27-4,0))</f>
        <v>CID001191</v>
      </c>
      <c r="G27" s="182" t="str">
        <f ca="1">IF(C27=$X$4,IF(ISERROR($V27),"Enter smelter details","RMI"),IF(ISERROR($V27),"",OFFSET('Smelter Look-up'!$F$4,$V27-4,0)))</f>
        <v>RMI</v>
      </c>
      <c r="H27" s="183">
        <f ca="1">IF(ISERROR($V27),"",OFFSET('Smelter Look-up'!$G$4,$V27-4,0))</f>
        <v>0</v>
      </c>
      <c r="I27" s="184" t="str">
        <f ca="1">IF(ISERROR($V27),"",OFFSET('Smelter Look-up'!$H$4,$V27-4,0))</f>
        <v>Tokyo</v>
      </c>
      <c r="J27" s="184" t="str">
        <f ca="1">IF(ISERROR($V27),"",OFFSET('Smelter Look-up'!$I$4,$V27-4,0))</f>
        <v>Tokyo</v>
      </c>
      <c r="K27" s="224"/>
      <c r="L27" s="224"/>
      <c r="M27" s="224"/>
      <c r="N27" s="224"/>
      <c r="O27" s="224"/>
      <c r="P27" s="185"/>
      <c r="Q27" s="225"/>
      <c r="R27" s="182" t="str">
        <f ca="1">IF(ISERROR($V27),"",OFFSET('Smelter Look-up'!$C$4,$V27-4,0)&amp;"")</f>
        <v>Mitsubishi Materials Corporation</v>
      </c>
      <c r="S27" s="181" t="str">
        <f t="shared" ca="1" si="3"/>
        <v>JP</v>
      </c>
      <c r="T27" s="181" t="str">
        <f ca="1">IF(B27="","",IF(ISERROR(MATCH($J27,SorP!$B$1:$B$6279,0)),"",INDIRECT("'SorP'!$A$"&amp;MATCH($S27&amp;$J27,SorP!C:C,0))))</f>
        <v>JP-13</v>
      </c>
      <c r="U27" s="201"/>
      <c r="V27" s="226">
        <f ca="1">IF(C27="",NA(),IF(OR(C27="Smelter not listed",C27="Smelter not yet identified"),MATCH($B27&amp;$D27,'Smelter Look-up'!$J:$J,0),MATCH($B27&amp;$C27,'Smelter Look-up'!$J:$J,0)))</f>
        <v>471</v>
      </c>
      <c r="X27" s="227">
        <f t="shared" ca="1" si="4"/>
        <v>0</v>
      </c>
      <c r="AB27" s="228" t="str">
        <f t="shared" ca="1" si="5"/>
        <v>TinMitsubishi Materials Corporation</v>
      </c>
    </row>
    <row r="28" spans="1:28" s="227" customFormat="1" ht="20.25">
      <c r="A28" s="181" t="s">
        <v>777</v>
      </c>
      <c r="B28" s="182" t="str">
        <f ca="1">IF(LEN(A28)=0,"",INDEX('Smelter Look-up'!$A:$A,MATCH($A28,'Smelter Look-up'!$E:$E,0)))</f>
        <v>Tin</v>
      </c>
      <c r="C28" s="186" t="str">
        <f ca="1">IF(LEN(A28)=0,"",INDEX('Smelter Look-up'!$C:$C,MATCH($A28,'Smelter Look-up'!$E:$E,0)))</f>
        <v>Operaciones Metalurgicas S.A.</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3"/>
        <v>BO</v>
      </c>
      <c r="T28" s="181" t="str">
        <f ca="1">IF(B28="","",IF(ISERROR(MATCH($J28,SorP!$B$1:$B$6279,0)),"",INDIRECT("'SorP'!$A$"&amp;MATCH($S28&amp;$J28,SorP!C:C,0))))</f>
        <v>BO-O</v>
      </c>
      <c r="U28" s="201"/>
      <c r="V28" s="226">
        <f ca="1">IF(C28="",NA(),IF(OR(C28="Smelter not listed",C28="Smelter not yet identified"),MATCH($B28&amp;$D28,'Smelter Look-up'!$J:$J,0),MATCH($B28&amp;$C28,'Smelter Look-up'!$J:$J,0)))</f>
        <v>482</v>
      </c>
      <c r="X28" s="227">
        <f t="shared" ca="1" si="4"/>
        <v>0</v>
      </c>
      <c r="AB28" s="228" t="str">
        <f t="shared" ca="1" si="5"/>
        <v>TinOperaciones Metalurgicas S.A.</v>
      </c>
    </row>
    <row r="29" spans="1:28" s="227" customFormat="1" ht="20.25">
      <c r="A29" s="181" t="s">
        <v>780</v>
      </c>
      <c r="B29" s="182" t="str">
        <f ca="1">IF(LEN(A29)=0,"",INDEX('Smelter Look-up'!$A:$A,MATCH($A29,'Smelter Look-up'!$E:$E,0)))</f>
        <v>Tin</v>
      </c>
      <c r="C29" s="186" t="str">
        <f ca="1">IF(LEN(A29)=0,"",INDEX('Smelter Look-up'!$C:$C,MATCH($A29,'Smelter Look-up'!$E:$E,0)))</f>
        <v>PT Refined Bangka Tin</v>
      </c>
      <c r="D29" s="230"/>
      <c r="E29" s="182" t="str">
        <f ca="1">IF(ISERROR($V29),"",OFFSET('Smelter Look-up'!$D$4,$V29-4,0)&amp;"")</f>
        <v>INDONESIA</v>
      </c>
      <c r="F29" s="182" t="str">
        <f ca="1">IF(ISERROR($V29),"",OFFSET('Smelter Look-up'!$E$4,$V29-4,0))</f>
        <v>CID001460</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Refined Bangka Tin</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507</v>
      </c>
      <c r="X29" s="227">
        <f t="shared" ca="1" si="4"/>
        <v>0</v>
      </c>
      <c r="AB29" s="228" t="str">
        <f t="shared" ca="1" si="5"/>
        <v>TinPT Refined Bangka Tin</v>
      </c>
    </row>
    <row r="30" spans="1:28" s="227" customFormat="1" ht="20.25">
      <c r="A30" s="181" t="s">
        <v>781</v>
      </c>
      <c r="B30" s="182" t="str">
        <f ca="1">IF(LEN(A30)=0,"",INDEX('Smelter Look-up'!$A:$A,MATCH($A30,'Smelter Look-up'!$E:$E,0)))</f>
        <v>Tin</v>
      </c>
      <c r="C30" s="186" t="str">
        <f ca="1">IF(LEN(A30)=0,"",INDEX('Smelter Look-up'!$C:$C,MATCH($A30,'Smelter Look-up'!$E:$E,0)))</f>
        <v>PT Timah Tbk Mentok</v>
      </c>
      <c r="D30" s="230"/>
      <c r="E30" s="182" t="str">
        <f ca="1">IF(ISERROR($V30),"",OFFSET('Smelter Look-up'!$D$4,$V30-4,0)&amp;"")</f>
        <v>INDONESIA</v>
      </c>
      <c r="F30" s="182" t="str">
        <f ca="1">IF(ISERROR($V30),"",OFFSET('Smelter Look-up'!$E$4,$V30-4,0))</f>
        <v>CID001482</v>
      </c>
      <c r="G30" s="182" t="str">
        <f ca="1">IF(C30=$X$4,IF(ISERROR($V30),"Enter smelter details","RMI"),IF(ISERROR($V30),"",OFFSET('Smelter Look-up'!$F$4,$V30-4,0)))</f>
        <v>RMI</v>
      </c>
      <c r="H30" s="183">
        <f ca="1">IF(ISERROR($V30),"",OFFSET('Smelter Look-up'!$G$4,$V30-4,0))</f>
        <v>0</v>
      </c>
      <c r="I30" s="184" t="str">
        <f ca="1">IF(ISERROR($V30),"",OFFSET('Smelter Look-up'!$H$4,$V30-4,0))</f>
        <v>Mentok</v>
      </c>
      <c r="J30" s="184" t="str">
        <f ca="1">IF(ISERROR($V30),"",OFFSET('Smelter Look-up'!$I$4,$V30-4,0))</f>
        <v>Kepulauan Bangka Belitung</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514</v>
      </c>
      <c r="X30" s="227">
        <f t="shared" ca="1" si="4"/>
        <v>0</v>
      </c>
      <c r="AB30" s="228" t="str">
        <f t="shared" ca="1" si="5"/>
        <v>TinPT Timah Tbk Mentok</v>
      </c>
    </row>
    <row r="31" spans="1:28" s="227" customFormat="1" ht="20.25">
      <c r="A31" s="181" t="s">
        <v>791</v>
      </c>
      <c r="B31" s="182" t="str">
        <f ca="1">IF(LEN(A31)=0,"",INDEX('Smelter Look-up'!$A:$A,MATCH($A31,'Smelter Look-up'!$E:$E,0)))</f>
        <v>Tungsten</v>
      </c>
      <c r="C31" s="186" t="str">
        <f ca="1">IF(LEN(A31)=0,"",INDEX('Smelter Look-up'!$C:$C,MATCH($A31,'Smelter Look-up'!$E:$E,0)))</f>
        <v>Chongyi Zhangyuan Tungsten Co., Ltd.</v>
      </c>
      <c r="D31" s="230"/>
      <c r="E31" s="182" t="str">
        <f ca="1">IF(ISERROR($V31),"",OFFSET('Smelter Look-up'!$D$4,$V31-4,0)&amp;"")</f>
        <v>CHINA</v>
      </c>
      <c r="F31" s="182" t="str">
        <f ca="1">IF(ISERROR($V31),"",OFFSET('Smelter Look-up'!$E$4,$V31-4,0))</f>
        <v>CID000258</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Chongyi Zhangyuan Tungsten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573</v>
      </c>
      <c r="X31" s="227">
        <f t="shared" ca="1" si="4"/>
        <v>0</v>
      </c>
      <c r="AB31" s="228" t="str">
        <f t="shared" ca="1" si="5"/>
        <v>TungstenChongyi Zhangyuan Tungsten Co., Ltd.</v>
      </c>
    </row>
    <row r="32" spans="1:28" s="227" customFormat="1" ht="20.25">
      <c r="A32" s="181" t="s">
        <v>795</v>
      </c>
      <c r="B32" s="182" t="str">
        <f ca="1">IF(LEN(A32)=0,"",INDEX('Smelter Look-up'!$A:$A,MATCH($A32,'Smelter Look-up'!$E:$E,0)))</f>
        <v>Tungsten</v>
      </c>
      <c r="C32" s="186" t="str">
        <f ca="1">IF(LEN(A32)=0,"",INDEX('Smelter Look-up'!$C:$C,MATCH($A32,'Smelter Look-up'!$E:$E,0)))</f>
        <v>Japan New Metals Co., Ltd.</v>
      </c>
      <c r="D32" s="230"/>
      <c r="E32" s="182" t="str">
        <f ca="1">IF(ISERROR($V32),"",OFFSET('Smelter Look-up'!$D$4,$V32-4,0)&amp;"")</f>
        <v>JAPAN</v>
      </c>
      <c r="F32" s="182" t="str">
        <f ca="1">IF(ISERROR($V32),"",OFFSET('Smelter Look-up'!$E$4,$V32-4,0))</f>
        <v>CID000825</v>
      </c>
      <c r="G32" s="182" t="str">
        <f ca="1">IF(C32=$X$4,IF(ISERROR($V32),"Enter smelter details","RMI"),IF(ISERROR($V32),"",OFFSET('Smelter Look-up'!$F$4,$V32-4,0)))</f>
        <v>RMI</v>
      </c>
      <c r="H32" s="183">
        <f ca="1">IF(ISERROR($V32),"",OFFSET('Smelter Look-up'!$G$4,$V32-4,0))</f>
        <v>0</v>
      </c>
      <c r="I32" s="184" t="str">
        <f ca="1">IF(ISERROR($V32),"",OFFSET('Smelter Look-up'!$H$4,$V32-4,0))</f>
        <v>Akita City</v>
      </c>
      <c r="J32" s="184" t="str">
        <f ca="1">IF(ISERROR($V32),"",OFFSET('Smelter Look-up'!$I$4,$V32-4,0))</f>
        <v>Akita</v>
      </c>
      <c r="K32" s="224"/>
      <c r="L32" s="224"/>
      <c r="M32" s="224"/>
      <c r="N32" s="224"/>
      <c r="O32" s="224"/>
      <c r="P32" s="185"/>
      <c r="Q32" s="225"/>
      <c r="R32" s="182" t="str">
        <f ca="1">IF(ISERROR($V32),"",OFFSET('Smelter Look-up'!$C$4,$V32-4,0)&amp;"")</f>
        <v>Japan New Metals Co., Ltd.</v>
      </c>
      <c r="S32" s="181" t="str">
        <f t="shared" ca="1" si="3"/>
        <v>JP</v>
      </c>
      <c r="T32" s="181" t="str">
        <f ca="1">IF(B32="","",IF(ISERROR(MATCH($J32,SorP!$B$1:$B$6279,0)),"",INDIRECT("'SorP'!$A$"&amp;MATCH($S32&amp;$J32,SorP!C:C,0))))</f>
        <v>JP-05</v>
      </c>
      <c r="U32" s="201"/>
      <c r="V32" s="226">
        <f ca="1">IF(C32="",NA(),IF(OR(C32="Smelter not listed",C32="Smelter not yet identified"),MATCH($B32&amp;$D32,'Smelter Look-up'!$J:$J,0),MATCH($B32&amp;$C32,'Smelter Look-up'!$J:$J,0)))</f>
        <v>600</v>
      </c>
      <c r="X32" s="227">
        <f t="shared" ca="1" si="4"/>
        <v>0</v>
      </c>
      <c r="AB32" s="228" t="str">
        <f t="shared" ca="1" si="5"/>
        <v>TungstenJapan New Metals Co., Ltd.</v>
      </c>
    </row>
    <row r="33" spans="1:28" s="227" customFormat="1" ht="20.25">
      <c r="A33" s="181" t="s">
        <v>799</v>
      </c>
      <c r="B33" s="182" t="str">
        <f ca="1">IF(LEN(A33)=0,"",INDEX('Smelter Look-up'!$A:$A,MATCH($A33,'Smelter Look-up'!$E:$E,0)))</f>
        <v>Tungsten</v>
      </c>
      <c r="C33" s="186" t="str">
        <f ca="1">IF(LEN(A33)=0,"",INDEX('Smelter Look-up'!$C:$C,MATCH($A33,'Smelter Look-up'!$E:$E,0)))</f>
        <v>Xiamen Tungsten Co., Ltd.</v>
      </c>
      <c r="D33" s="230"/>
      <c r="E33" s="182" t="str">
        <f ca="1">IF(ISERROR($V33),"",OFFSET('Smelter Look-up'!$D$4,$V33-4,0)&amp;"")</f>
        <v>CHINA</v>
      </c>
      <c r="F33" s="182" t="str">
        <f ca="1">IF(ISERROR($V33),"",OFFSET('Smelter Look-up'!$E$4,$V33-4,0))</f>
        <v>CID002082</v>
      </c>
      <c r="G33" s="182" t="str">
        <f ca="1">IF(C33=$X$4,IF(ISERROR($V33),"Enter smelter details","RMI"),IF(ISERROR($V33),"",OFFSET('Smelter Look-up'!$F$4,$V33-4,0)))</f>
        <v>RMI</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Co., Ltd.</v>
      </c>
      <c r="S33" s="181" t="str">
        <f t="shared" ca="1" si="3"/>
        <v>CN</v>
      </c>
      <c r="T33" s="181" t="str">
        <f ca="1">IF(B33="","",IF(ISERROR(MATCH($J33,SorP!$B$1:$B$6279,0)),"",INDIRECT("'SorP'!$A$"&amp;MATCH($S33&amp;$J33,SorP!C:C,0))))</f>
        <v>CN-FJ</v>
      </c>
      <c r="U33" s="201"/>
      <c r="V33" s="226">
        <f ca="1">IF(C33="",NA(),IF(OR(C33="Smelter not listed",C33="Smelter not yet identified"),MATCH($B33&amp;$D33,'Smelter Look-up'!$J:$J,0),MATCH($B33&amp;$C33,'Smelter Look-up'!$J:$J,0)))</f>
        <v>636</v>
      </c>
      <c r="X33" s="227">
        <f t="shared" ca="1" si="4"/>
        <v>0</v>
      </c>
      <c r="AB33" s="228" t="str">
        <f t="shared" ca="1" si="5"/>
        <v>TungstenXiamen Tungsten Co., Ltd.</v>
      </c>
    </row>
    <row r="34" spans="1:28" s="227" customFormat="1" ht="20.25">
      <c r="A34" s="181" t="s">
        <v>145</v>
      </c>
      <c r="B34" s="182" t="str">
        <f ca="1">IF(LEN(A34)=0,"",INDEX('Smelter Look-up'!$A:$A,MATCH($A34,'Smelter Look-up'!$E:$E,0)))</f>
        <v>Tungsten</v>
      </c>
      <c r="C34" s="186" t="str">
        <f ca="1">IF(LEN(A34)=0,"",INDEX('Smelter Look-up'!$C:$C,MATCH($A34,'Smelter Look-up'!$E:$E,0)))</f>
        <v>Xiamen Tungsten (H.C.) Co., Ltd.</v>
      </c>
      <c r="D34" s="230"/>
      <c r="E34" s="182" t="str">
        <f ca="1">IF(ISERROR($V34),"",OFFSET('Smelter Look-up'!$D$4,$V34-4,0)&amp;"")</f>
        <v>CHINA</v>
      </c>
      <c r="F34" s="182" t="str">
        <f ca="1">IF(ISERROR($V34),"",OFFSET('Smelter Look-up'!$E$4,$V34-4,0))</f>
        <v>CID002320</v>
      </c>
      <c r="G34" s="182" t="str">
        <f ca="1">IF(C34=$X$4,IF(ISERROR($V34),"Enter smelter details","RMI"),IF(ISERROR($V34),"",OFFSET('Smelter Look-up'!$F$4,$V34-4,0)))</f>
        <v>RMI</v>
      </c>
      <c r="H34" s="183">
        <f ca="1">IF(ISERROR($V34),"",OFFSET('Smelter Look-up'!$G$4,$V34-4,0))</f>
        <v>0</v>
      </c>
      <c r="I34" s="184" t="str">
        <f ca="1">IF(ISERROR($V34),"",OFFSET('Smelter Look-up'!$H$4,$V34-4,0))</f>
        <v>Xiamen</v>
      </c>
      <c r="J34" s="184" t="str">
        <f ca="1">IF(ISERROR($V34),"",OFFSET('Smelter Look-up'!$I$4,$V34-4,0))</f>
        <v>Fujian Sheng</v>
      </c>
      <c r="K34" s="224"/>
      <c r="L34" s="224"/>
      <c r="M34" s="224"/>
      <c r="N34" s="224"/>
      <c r="O34" s="224"/>
      <c r="P34" s="185"/>
      <c r="Q34" s="225"/>
      <c r="R34" s="182" t="str">
        <f ca="1">IF(ISERROR($V34),"",OFFSET('Smelter Look-up'!$C$4,$V34-4,0)&amp;"")</f>
        <v>Xiamen Tungsten (H.C.) Co., Ltd.</v>
      </c>
      <c r="S34" s="181" t="str">
        <f t="shared" ca="1" si="3"/>
        <v>CN</v>
      </c>
      <c r="T34" s="181" t="str">
        <f ca="1">IF(B34="","",IF(ISERROR(MATCH($J34,SorP!$B$1:$B$6279,0)),"",INDIRECT("'SorP'!$A$"&amp;MATCH($S34&amp;$J34,SorP!C:C,0))))</f>
        <v>CN-FJ</v>
      </c>
      <c r="U34" s="201"/>
      <c r="V34" s="226">
        <f ca="1">IF(C34="",NA(),IF(OR(C34="Smelter not listed",C34="Smelter not yet identified"),MATCH($B34&amp;$D34,'Smelter Look-up'!$J:$J,0),MATCH($B34&amp;$C34,'Smelter Look-up'!$J:$J,0)))</f>
        <v>635</v>
      </c>
      <c r="X34" s="227">
        <f t="shared" ca="1" si="4"/>
        <v>0</v>
      </c>
      <c r="AB34" s="228" t="str">
        <f t="shared" ca="1" si="5"/>
        <v>TungstenXiamen Tungsten (H.C.) Co., Ltd.</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23088D-C890-4A23-8A84-A84906DBA65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Micro Crystal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Fritz Burkhalter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fritz.burkhalter@microcrystal.ch</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+41326557088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Fritz Burkhalter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fritz.burkhalter@microcrystal.ch</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https://www.microcrystal.com/fileadmin/Media/Certificates/Code_of_Conduct.pdf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Burkhalter, Fritz</cp:lastModifiedBy>
  <cp:lastPrinted>2015-04-21T20:47:43Z</cp:lastPrinted>
  <dcterms:created xsi:type="dcterms:W3CDTF">2010-06-21T21:00:23Z</dcterms:created>
  <dcterms:modified xsi:type="dcterms:W3CDTF">2023-10-30T10:55:04Z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