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T:\20_CoC Environment\3 CRT Cobalt\CRT aktuell &amp; in Arbeit\"/>
    </mc:Choice>
  </mc:AlternateContent>
  <workbookProtection workbookAlgorithmName="SHA-512" workbookHashValue="0x5uFPcrb8s73dYP3YKvANKqm2AnGP6Kd9bK7HSuZeQZw5x1rNqHZkfUZZoqLZBqeZrVP4QbekLPWfZ2Tb8gPg==" workbookSaltValue="hAkqLxSCkaHf1J3qTL/zTw==" workbookSpinCount="100000" lockStructure="1"/>
  <bookViews>
    <workbookView xWindow="0" yWindow="0" windowWidth="25200" windowHeight="1123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 i="5" l="1"/>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c r="H10" i="6" s="1"/>
  <c r="D10" i="6" s="1"/>
  <c r="B9" i="6"/>
  <c r="G9" i="6"/>
  <c r="H9" i="6" s="1"/>
  <c r="D9" i="6" s="1"/>
  <c r="B8" i="6"/>
  <c r="G8" i="6"/>
  <c r="H8" i="6"/>
  <c r="D8" i="6" s="1"/>
  <c r="B7" i="6"/>
  <c r="G7" i="6"/>
  <c r="H7" i="6"/>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C10" i="6" s="1"/>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B5" i="5" l="1"/>
  <c r="C5" i="5"/>
  <c r="C6" i="5"/>
  <c r="C8" i="5"/>
  <c r="C10" i="5"/>
  <c r="C9" i="5"/>
  <c r="B6" i="5"/>
  <c r="AB6" i="5" s="1"/>
  <c r="B10" i="5"/>
  <c r="AB10" i="5" s="1"/>
  <c r="B7" i="5"/>
  <c r="B9" i="5"/>
  <c r="B11" i="5"/>
  <c r="C7" i="5"/>
  <c r="V7" i="5" s="1"/>
  <c r="H7" i="5" s="1"/>
  <c r="C11" i="5"/>
  <c r="V11" i="5" s="1"/>
  <c r="G11" i="5" s="1"/>
  <c r="B8" i="5"/>
  <c r="C13" i="6"/>
  <c r="C9" i="6"/>
  <c r="C7" i="6"/>
  <c r="C8" i="6"/>
  <c r="C11"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0" i="5"/>
  <c r="AB14" i="5"/>
  <c r="G15" i="5"/>
  <c r="V16" i="5"/>
  <c r="AB15" i="5"/>
  <c r="AB12" i="5"/>
  <c r="V17"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2461" i="5"/>
  <c r="G1317" i="5"/>
  <c r="G845" i="5"/>
  <c r="E1637" i="5"/>
  <c r="X1637" i="5" s="1"/>
  <c r="I1317" i="5"/>
  <c r="H2461" i="5"/>
  <c r="F1213" i="5"/>
  <c r="F2461" i="5"/>
  <c r="E845" i="5"/>
  <c r="X845" i="5" s="1"/>
  <c r="J7" i="5"/>
  <c r="F7" i="5"/>
  <c r="I7" i="5"/>
  <c r="E7" i="5"/>
  <c r="X7" i="5" s="1"/>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15" i="5"/>
  <c r="T7" i="5"/>
  <c r="AB11" i="5" l="1"/>
  <c r="G7" i="5"/>
  <c r="AB8" i="5"/>
  <c r="V8" i="5"/>
  <c r="V6" i="5"/>
  <c r="V9" i="5"/>
  <c r="G9" i="5" s="1"/>
  <c r="AB7" i="5"/>
  <c r="H48" i="6"/>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S70" i="5"/>
  <c r="S62" i="5"/>
  <c r="S46" i="5"/>
  <c r="S18" i="5"/>
  <c r="T16" i="5"/>
  <c r="S38" i="5"/>
  <c r="S22" i="5"/>
  <c r="T13" i="5"/>
  <c r="T14" i="5"/>
  <c r="T17" i="5"/>
  <c r="S7" i="5"/>
  <c r="T10" i="5"/>
  <c r="T11" i="5"/>
  <c r="I6" i="5" l="1"/>
  <c r="G6" i="5"/>
  <c r="E6" i="5"/>
  <c r="F6" i="5"/>
  <c r="R6" i="5"/>
  <c r="J6" i="5"/>
  <c r="H6" i="5"/>
  <c r="E9" i="5"/>
  <c r="J9" i="5"/>
  <c r="I9" i="5"/>
  <c r="F9" i="5"/>
  <c r="H9" i="5"/>
  <c r="R9" i="5"/>
  <c r="H8" i="5"/>
  <c r="G8" i="5"/>
  <c r="R8" i="5"/>
  <c r="F8" i="5"/>
  <c r="I8" i="5"/>
  <c r="J8" i="5"/>
  <c r="E8" i="5"/>
  <c r="D48" i="6"/>
  <c r="X13" i="5"/>
  <c r="X16" i="5"/>
  <c r="X10" i="5"/>
  <c r="X17" i="5"/>
  <c r="X11" i="5"/>
  <c r="X14" i="5"/>
  <c r="G59" i="6"/>
  <c r="G60" i="6"/>
  <c r="F61" i="6"/>
  <c r="G58" i="6"/>
  <c r="H59" i="6"/>
  <c r="S14" i="5"/>
  <c r="S16" i="5"/>
  <c r="S17" i="5"/>
  <c r="S13" i="5"/>
  <c r="T9" i="5"/>
  <c r="S11" i="5"/>
  <c r="S10" i="5"/>
  <c r="T6" i="5"/>
  <c r="T8" i="5"/>
  <c r="X8" i="5" l="1"/>
  <c r="X9" i="5"/>
  <c r="X6" i="5"/>
  <c r="H60" i="6"/>
  <c r="AB5" i="5"/>
  <c r="H57" i="6"/>
  <c r="V5" i="5"/>
  <c r="G57" i="6"/>
  <c r="C57" i="6" s="1"/>
  <c r="H58" i="6"/>
  <c r="S8" i="5"/>
  <c r="S6" i="5"/>
  <c r="S9" i="5"/>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<sst xmlns="http://schemas.openxmlformats.org/spreadsheetml/2006/main" count="17136" uniqueCount="14069">
  <si>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</si>
  <si>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</si>
  <si>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</si>
  <si>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</si>
  <si>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</si>
  <si>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</si>
  <si>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</si>
  <si>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</si>
  <si>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</si>
  <si>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</si>
  <si>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</si>
  <si>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</si>
  <si>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</si>
  <si>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</si>
  <si>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</si>
  <si>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</si>
  <si>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</si>
  <si>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</si>
  <si>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</si>
  <si>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</si>
  <si>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</si>
  <si>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</si>
  <si>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</si>
  <si>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</si>
  <si>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</si>
  <si>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</si>
  <si>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</si>
  <si>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</si>
  <si>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</si>
  <si>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</si>
  <si>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</si>
  <si>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</si>
  <si>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</si>
  <si>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</si>
  <si>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</si>
  <si>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</si>
  <si>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</si>
  <si>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</si>
  <si>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</si>
  <si>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</si>
  <si>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</si>
  <si>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</si>
  <si>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</si>
  <si>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</si>
  <si>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</si>
  <si>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</si>
  <si>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</si>
  <si>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</si>
  <si>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</si>
  <si>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</si>
  <si>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</si>
  <si>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</si>
  <si>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</si>
  <si>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</si>
  <si>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</si>
  <si>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</si>
  <si>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</si>
  <si>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</si>
  <si>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</si>
  <si>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</si>
  <si>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</si>
  <si>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</si>
  <si>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</si>
  <si>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</si>
  <si>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</si>
  <si>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</si>
  <si>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</si>
  <si>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</si>
  <si>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</si>
  <si>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</si>
  <si>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</si>
  <si>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</si>
  <si>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</si>
  <si>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</si>
  <si>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</si>
  <si>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</si>
  <si>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</si>
  <si>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</si>
  <si>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</si>
  <si>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</si>
  <si>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</si>
  <si>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</si>
  <si>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</si>
  <si>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</si>
  <si>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</si>
  <si>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</si>
  <si>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</si>
  <si>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</si>
  <si>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</si>
  <si>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</si>
  <si>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</si>
  <si>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</si>
  <si>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</si>
  <si>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</si>
  <si>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</si>
  <si>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</si>
  <si>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</si>
  <si>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</si>
  <si>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</si>
  <si>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</si>
  <si>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</si>
  <si>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</si>
  <si>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</si>
  <si>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</si>
  <si>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</si>
  <si>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</si>
  <si>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</si>
  <si>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</si>
  <si>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</si>
  <si>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</si>
  <si>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</si>
  <si>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</si>
  <si>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</si>
  <si>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</si>
  <si>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</si>
  <si>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</si>
  <si>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</si>
  <si>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</si>
  <si>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</si>
  <si>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</si>
  <si>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</si>
  <si>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</si>
  <si>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</si>
  <si>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</si>
  <si>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</si>
  <si>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</si>
  <si>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</si>
  <si>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</si>
  <si>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</si>
  <si>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</si>
  <si>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</si>
  <si>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</si>
  <si>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</si>
  <si>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</si>
  <si>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</si>
  <si>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</si>
  <si>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</si>
  <si>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</si>
  <si>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</si>
  <si>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</si>
  <si>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</si>
  <si>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</si>
  <si>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</si>
  <si>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</si>
  <si>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</si>
  <si>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</si>
  <si>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</si>
  <si>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</si>
  <si>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</si>
  <si>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</si>
  <si>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</si>
  <si>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</si>
  <si>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</si>
  <si>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</si>
  <si>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</si>
  <si>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</si>
  <si>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</si>
  <si>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</si>
  <si>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</si>
  <si>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</si>
  <si>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</si>
  <si>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</si>
  <si>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</si>
  <si>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</si>
  <si>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</si>
  <si>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</si>
  <si>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</si>
  <si>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</si>
  <si>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</si>
  <si>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</si>
  <si>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</si>
  <si>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</si>
  <si>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</si>
  <si>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</si>
  <si>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</si>
  <si>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</si>
  <si>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</si>
  <si>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</si>
  <si>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</si>
  <si>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</si>
  <si>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</si>
  <si>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</si>
  <si>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</si>
  <si>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</si>
  <si>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</si>
  <si>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</si>
  <si>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</si>
  <si>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</si>
  <si>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</si>
  <si>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</si>
  <si>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</si>
  <si>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</si>
  <si>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</si>
  <si>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</si>
  <si>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</si>
  <si>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</si>
  <si>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</si>
  <si>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</si>
  <si>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</si>
  <si>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</si>
  <si>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</si>
  <si>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</si>
  <si>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</si>
  <si>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</si>
  <si>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</si>
  <si>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</si>
  <si>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</si>
  <si>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</si>
  <si>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</si>
  <si>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</si>
  <si>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</si>
  <si>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</si>
  <si>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</si>
  <si>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</si>
  <si>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</si>
  <si>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</si>
  <si>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</si>
  <si>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</si>
  <si>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</si>
  <si>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</si>
  <si>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</si>
  <si>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</si>
  <si>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</si>
  <si>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</si>
  <si>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</si>
  <si>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</si>
  <si>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</si>
  <si>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</si>
  <si>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</si>
  <si>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</si>
  <si>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</si>
  <si>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</si>
  <si>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</si>
  <si>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</si>
  <si>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</si>
  <si>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</si>
  <si>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</si>
  <si>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</si>
  <si>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</si>
  <si>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</si>
  <si>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</si>
  <si>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</si>
  <si>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</si>
  <si>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</si>
  <si>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</si>
  <si>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</si>
  <si>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</si>
  <si>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</si>
  <si>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</si>
  <si>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</si>
  <si>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</si>
  <si>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</si>
  <si>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</si>
  <si>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</si>
  <si>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</si>
  <si>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</si>
  <si>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</si>
  <si>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</si>
  <si>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</si>
  <si>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</si>
  <si>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</si>
  <si>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</si>
  <si>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</si>
  <si>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</si>
  <si>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</si>
  <si>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</si>
  <si>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</si>
  <si>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</si>
  <si>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</si>
  <si>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</si>
  <si>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</si>
  <si>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</si>
  <si>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</si>
  <si>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</si>
  <si>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</si>
  <si>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</si>
  <si>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</si>
  <si>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</si>
  <si>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</si>
  <si>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</si>
  <si>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</si>
  <si>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</si>
  <si>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</si>
  <si>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</si>
  <si>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</si>
  <si>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</si>
  <si>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</si>
  <si>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</si>
  <si>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</si>
  <si>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</si>
  <si>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</si>
  <si>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</si>
  <si>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</si>
  <si>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</si>
  <si>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</si>
  <si>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</si>
  <si>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</si>
  <si>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</si>
  <si>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</si>
  <si>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</si>
  <si>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</si>
  <si>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</si>
  <si>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</si>
  <si>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</si>
  <si>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</si>
  <si>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</si>
  <si>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</si>
  <si>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</si>
  <si>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</si>
  <si>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</si>
  <si>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</si>
  <si>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</si>
  <si>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</si>
  <si>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</si>
  <si>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</si>
  <si>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</si>
  <si>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</si>
  <si>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</si>
  <si>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</si>
  <si>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</si>
  <si>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</si>
  <si>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</si>
  <si>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</si>
  <si>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</si>
  <si>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</si>
  <si>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</si>
  <si>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</si>
  <si>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</si>
  <si>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</si>
  <si>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</si>
  <si>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</si>
  <si>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</si>
  <si>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</si>
  <si>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</si>
  <si>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</si>
  <si>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</si>
  <si>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</si>
  <si>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</si>
  <si>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</si>
  <si>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</si>
  <si>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</si>
  <si>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</si>
  <si>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</si>
  <si>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</si>
  <si>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</si>
  <si>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</si>
  <si>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</si>
  <si>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</si>
  <si>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</si>
  <si>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</si>
  <si>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</si>
  <si>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</si>
  <si>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</si>
  <si>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</si>
  <si>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</si>
  <si>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</si>
  <si>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</si>
  <si>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</si>
  <si>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</si>
  <si>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</si>
  <si>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</si>
  <si>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</si>
  <si>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</si>
  <si>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</si>
  <si>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</si>
  <si>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</si>
  <si>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</si>
  <si>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</si>
  <si>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</si>
  <si>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</si>
  <si>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</si>
  <si>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</si>
  <si>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</si>
  <si>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</si>
  <si>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</si>
  <si>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</si>
  <si>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</si>
  <si>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</si>
  <si>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</si>
  <si>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</si>
  <si>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</si>
  <si>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</si>
  <si>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</si>
  <si>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</si>
  <si>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</si>
  <si>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</si>
  <si>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</si>
  <si>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</si>
  <si>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</si>
  <si>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</si>
  <si>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</si>
  <si>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</si>
  <si>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</si>
  <si>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</si>
  <si>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</si>
  <si>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</si>
  <si>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</si>
  <si>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</si>
  <si>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</si>
  <si>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</si>
  <si>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</si>
  <si>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</si>
  <si>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</si>
  <si>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</si>
  <si>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</si>
  <si>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</si>
  <si>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</si>
  <si>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</si>
  <si>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</si>
  <si>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</si>
  <si>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</si>
  <si>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</si>
  <si>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</si>
  <si>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</si>
  <si>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</si>
  <si>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</si>
  <si>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</si>
  <si>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</si>
  <si>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</si>
  <si>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</si>
  <si>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</si>
  <si>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</si>
  <si>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</si>
  <si>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</si>
  <si>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</si>
  <si>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</si>
  <si>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</si>
  <si>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</si>
  <si>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</si>
  <si>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</si>
  <si>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</si>
  <si>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</si>
  <si>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</si>
  <si>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</si>
  <si>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</si>
  <si>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</si>
  <si>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</si>
  <si>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</si>
  <si>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</si>
  <si>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</si>
  <si>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</si>
  <si>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</si>
  <si>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</si>
  <si>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</si>
  <si>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</si>
  <si>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</si>
  <si>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</si>
  <si>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</si>
  <si>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</si>
  <si>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</si>
  <si>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</si>
  <si>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</si>
  <si>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</si>
  <si>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</si>
  <si>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</si>
  <si>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</si>
  <si>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</si>
  <si>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</si>
  <si>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</si>
  <si>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</si>
  <si>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</si>
  <si>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</si>
  <si>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</si>
  <si>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</si>
  <si>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</si>
  <si>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</si>
  <si>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</si>
  <si>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</si>
  <si>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</si>
  <si>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</si>
  <si>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</si>
  <si>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</si>
  <si>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</si>
  <si>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</si>
  <si>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</si>
  <si>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</si>
  <si>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</si>
  <si>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</si>
  <si>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</si>
  <si>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</si>
  <si>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</si>
  <si>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</si>
  <si>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</si>
  <si>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</si>
  <si>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</si>
  <si>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</si>
  <si>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</si>
  <si>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</si>
  <si>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</si>
  <si>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</si>
  <si>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</si>
  <si>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</si>
  <si>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</si>
  <si>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</si>
  <si>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</si>
  <si>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</si>
  <si>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</si>
  <si>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</si>
  <si>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</si>
  <si>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</si>
  <si>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</si>
  <si>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</si>
  <si>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</si>
  <si>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</si>
  <si>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</si>
  <si>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</si>
  <si>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</si>
  <si>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</si>
  <si>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</si>
  <si>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</si>
  <si>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</si>
  <si>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</si>
  <si>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</si>
  <si>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</si>
  <si>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</si>
  <si>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</si>
  <si>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</si>
  <si>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</si>
  <si>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</si>
  <si>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</si>
  <si>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</si>
  <si>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</si>
  <si>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</si>
  <si>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</si>
  <si>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</si>
  <si>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</si>
  <si>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</si>
  <si>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</si>
  <si>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</si>
  <si>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</si>
  <si>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</si>
  <si>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</si>
  <si>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</si>
  <si>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</si>
  <si>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</si>
  <si>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</si>
  <si>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</si>
  <si>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</si>
  <si>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</si>
  <si>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</si>
  <si>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</si>
  <si>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</si>
  <si>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</si>
  <si>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</si>
  <si>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</si>
  <si>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</si>
  <si>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</si>
  <si>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</si>
  <si>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</si>
  <si>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</si>
  <si>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</si>
  <si>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</si>
  <si>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</si>
  <si>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</si>
  <si>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</si>
  <si>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</si>
  <si>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</si>
  <si>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</si>
  <si>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</si>
  <si>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</si>
  <si>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</si>
  <si>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</si>
  <si>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</si>
  <si>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</si>
  <si>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</si>
  <si>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</si>
  <si>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</si>
  <si>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</si>
  <si>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</si>
  <si>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</si>
  <si>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</si>
  <si>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</si>
  <si>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</si>
  <si>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</si>
  <si>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</si>
  <si>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</si>
  <si>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</si>
  <si>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</si>
  <si>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</si>
  <si>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</si>
  <si>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</si>
  <si>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</si>
  <si>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</si>
  <si>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</si>
  <si>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</si>
  <si>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</si>
  <si>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</si>
  <si>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</si>
  <si>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</si>
  <si>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</si>
  <si>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</si>
  <si>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</si>
  <si>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</si>
  <si>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</si>
  <si>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</si>
  <si>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</si>
  <si>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</si>
  <si>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</si>
  <si>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</si>
  <si>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</si>
  <si>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</si>
  <si>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</si>
  <si>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</si>
  <si>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</si>
  <si>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</si>
  <si>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</si>
  <si>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</si>
  <si>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</si>
  <si>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</si>
  <si>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</si>
  <si>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</si>
  <si>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</si>
  <si>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</si>
  <si>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</si>
  <si>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</si>
  <si>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</si>
  <si>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</si>
  <si>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</si>
  <si>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</si>
  <si>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</si>
  <si>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</si>
  <si>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</si>
  <si>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</si>
  <si>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</si>
  <si>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</si>
  <si>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</si>
  <si>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</si>
  <si>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</si>
  <si>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</si>
  <si>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</si>
  <si>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</si>
  <si>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</si>
  <si>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</si>
  <si>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</si>
  <si>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</si>
  <si>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</si>
  <si>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</si>
  <si>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</si>
  <si>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</si>
  <si>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</si>
  <si>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</si>
  <si>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</si>
  <si>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</si>
  <si>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</si>
  <si>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</si>
  <si>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</si>
  <si>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</si>
  <si>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</si>
  <si>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</si>
  <si>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</si>
  <si>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</si>
  <si>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</si>
  <si>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</si>
  <si>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</si>
  <si>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</si>
  <si>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</si>
  <si>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</si>
  <si>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</si>
  <si>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</si>
  <si>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</si>
  <si>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</si>
  <si>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</si>
  <si>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</si>
  <si>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</si>
  <si>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</si>
  <si>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</si>
  <si>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</si>
  <si>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</si>
  <si>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</si>
  <si>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</si>
  <si>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</si>
  <si>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</si>
  <si>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</si>
  <si>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</si>
  <si>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</si>
  <si>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</si>
  <si>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</si>
  <si>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</si>
  <si>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</si>
  <si>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</si>
  <si>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</si>
  <si>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</si>
  <si>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</si>
  <si>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</si>
  <si>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</si>
  <si>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</si>
  <si>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</si>
  <si>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</si>
  <si>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</si>
  <si>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</si>
  <si>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</si>
  <si>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</si>
  <si>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</si>
  <si>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</si>
  <si>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</si>
  <si>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</si>
  <si>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</si>
  <si>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</si>
  <si>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</si>
  <si>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</si>
  <si>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</si>
  <si>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</si>
  <si>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</si>
  <si>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</si>
  <si>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</si>
  <si>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</si>
  <si>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</si>
  <si>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</si>
  <si>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</si>
  <si>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</si>
  <si>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</si>
  <si>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</si>
  <si>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</si>
  <si>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</si>
  <si>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</si>
  <si>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</si>
  <si>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</si>
  <si>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</si>
  <si>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</si>
  <si>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</si>
  <si>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</si>
  <si>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</si>
  <si>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</si>
  <si>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</si>
  <si>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</si>
  <si>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</si>
  <si>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</si>
  <si>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</si>
  <si>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</si>
  <si>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</si>
  <si>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</si>
  <si>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</si>
  <si>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</si>
  <si>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</si>
  <si>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</si>
  <si>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</si>
  <si>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</si>
  <si>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</si>
  <si>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</si>
  <si>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</si>
  <si>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</si>
  <si>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</si>
  <si>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</si>
  <si>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</si>
  <si>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</si>
  <si>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</si>
  <si>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</si>
  <si>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</si>
  <si>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</si>
  <si>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</si>
  <si>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</si>
  <si>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</si>
  <si>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</si>
  <si>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</si>
  <si>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</si>
  <si>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</si>
  <si>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</si>
  <si>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</si>
  <si>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</si>
  <si>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</si>
  <si>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</si>
  <si>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</si>
  <si>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</si>
  <si>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</si>
  <si>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</si>
  <si>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</si>
  <si>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</si>
  <si>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</si>
  <si>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</si>
  <si>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</si>
  <si>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</si>
  <si>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</si>
  <si>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</si>
  <si>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</si>
  <si>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</si>
  <si>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</si>
  <si>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</si>
  <si>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</si>
  <si>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</si>
  <si>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</si>
  <si>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</si>
  <si>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</si>
  <si>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</si>
  <si>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</si>
  <si>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</si>
  <si>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</si>
  <si>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</si>
  <si>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</si>
  <si>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</si>
  <si>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</si>
  <si>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</si>
  <si>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</si>
  <si>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</si>
  <si>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</si>
  <si>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</si>
  <si>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</si>
  <si>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</si>
  <si>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</si>
  <si>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</si>
  <si>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</si>
  <si>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</si>
  <si>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</si>
  <si>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</si>
  <si>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</si>
  <si>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</si>
  <si>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</si>
  <si>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</si>
  <si>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</si>
  <si>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</si>
  <si>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</si>
  <si>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</si>
  <si>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</si>
  <si>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</si>
  <si>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</si>
  <si>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</si>
  <si>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</si>
  <si>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</si>
  <si>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</si>
  <si>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</si>
  <si>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</si>
  <si>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</si>
  <si>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</si>
  <si>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</si>
  <si>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</si>
  <si>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</si>
  <si>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</si>
  <si>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</si>
  <si>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</si>
  <si>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</si>
  <si>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</si>
  <si>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</si>
  <si>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</si>
  <si>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</si>
  <si>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</si>
  <si>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</si>
  <si>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</si>
  <si>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</si>
  <si>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</si>
  <si>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</si>
  <si>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</si>
  <si>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</si>
  <si>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</si>
  <si>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</si>
  <si>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</si>
  <si>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</si>
  <si>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</si>
  <si>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</si>
  <si>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</si>
  <si>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</si>
  <si>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</si>
  <si>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</si>
  <si>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</si>
  <si>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</si>
  <si>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</si>
  <si>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</si>
  <si>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</si>
  <si>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</si>
  <si>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</si>
  <si>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</si>
  <si>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</si>
  <si>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</si>
  <si>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</si>
  <si>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</si>
  <si>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</si>
  <si>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</si>
  <si>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</si>
  <si>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</si>
  <si>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</si>
  <si>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</si>
  <si>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</si>
  <si>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</si>
  <si>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</si>
  <si>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</si>
  <si>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</si>
  <si>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</si>
  <si>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</si>
  <si>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</si>
  <si>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</si>
  <si>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</si>
  <si>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</si>
  <si>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</si>
  <si>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</si>
  <si>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</si>
  <si>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</si>
  <si>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</si>
  <si>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</si>
  <si>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</si>
  <si>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</si>
  <si>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</si>
  <si>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</si>
  <si>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</si>
  <si>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</si>
  <si>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</si>
  <si>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</si>
  <si>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</si>
  <si>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</si>
  <si>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</si>
  <si>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</si>
  <si>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</si>
  <si>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</si>
  <si>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</si>
  <si>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</si>
  <si>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</si>
  <si>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</si>
  <si>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</si>
  <si>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</si>
  <si>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</si>
  <si>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</si>
  <si>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</si>
  <si>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</si>
  <si>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</si>
  <si>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</si>
  <si>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</si>
  <si>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</si>
  <si>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</si>
  <si>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</si>
  <si>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</si>
  <si>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</si>
  <si>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</si>
  <si>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</si>
  <si>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</si>
  <si>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</si>
  <si>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</si>
  <si>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</si>
  <si>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</si>
  <si>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</si>
  <si>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</si>
  <si>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</si>
  <si>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</si>
  <si>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</si>
  <si>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</si>
  <si>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</si>
  <si>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</si>
  <si>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</si>
  <si>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</si>
  <si>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</si>
  <si>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</si>
  <si>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</si>
  <si>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</si>
  <si>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</si>
  <si>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</si>
  <si>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</si>
  <si>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</si>
  <si>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</si>
  <si>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</si>
  <si>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</si>
  <si>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</si>
  <si>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</si>
  <si>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</si>
  <si>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</si>
  <si>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</si>
  <si>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</si>
  <si>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</si>
  <si>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</si>
  <si>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</si>
  <si>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</si>
  <si>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</si>
  <si>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</si>
  <si>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</si>
  <si>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</si>
  <si>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</si>
  <si>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</si>
  <si>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</si>
  <si>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</si>
  <si>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</si>
  <si>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</si>
  <si>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</si>
  <si>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</si>
  <si>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</si>
  <si>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</si>
  <si>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</si>
  <si>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</si>
  <si>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</si>
  <si>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</si>
  <si>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</si>
  <si>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</si>
  <si>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</si>
  <si>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</si>
  <si>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</si>
  <si>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</si>
  <si>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</si>
  <si>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</si>
  <si>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</si>
  <si>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</si>
  <si>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</si>
  <si>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</si>
  <si>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</si>
  <si>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</si>
  <si>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</si>
  <si>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</si>
  <si>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</si>
  <si>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</si>
  <si>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</si>
  <si>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</si>
  <si>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</si>
  <si>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</si>
  <si>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</si>
  <si>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</si>
  <si>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</si>
  <si>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</si>
  <si>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</si>
  <si>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</si>
  <si>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</si>
  <si>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</si>
  <si>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</si>
  <si>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</si>
  <si>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</si>
  <si>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</si>
  <si>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</si>
  <si>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</si>
  <si>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</si>
  <si>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</si>
  <si>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</si>
  <si>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</si>
  <si>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</si>
  <si>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</si>
  <si>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</si>
  <si>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</si>
  <si>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</si>
  <si>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</si>
  <si>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</si>
  <si>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</si>
  <si>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</si>
  <si>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</si>
  <si>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</si>
  <si>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</si>
  <si>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</si>
  <si>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</si>
  <si>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</si>
  <si>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</si>
  <si>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</si>
  <si>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</si>
  <si>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</si>
  <si>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</si>
  <si>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</si>
  <si>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</si>
  <si>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</si>
  <si>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</si>
  <si>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</si>
  <si>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</si>
  <si>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</si>
  <si>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</si>
  <si>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</si>
  <si>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</si>
  <si>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</si>
  <si>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</si>
  <si>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</si>
  <si>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</si>
  <si>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</si>
  <si>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</si>
  <si>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</si>
  <si>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</si>
  <si>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</si>
  <si>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</si>
  <si>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</si>
  <si>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</si>
  <si>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</si>
  <si>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</si>
  <si>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</si>
  <si>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</si>
  <si>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</si>
  <si>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</si>
  <si>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</si>
  <si>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</si>
  <si>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</si>
  <si>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</si>
  <si>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</si>
  <si>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</si>
  <si>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</si>
  <si>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</si>
  <si>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</si>
  <si>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</si>
  <si>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</si>
  <si>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</si>
  <si>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</si>
  <si>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</si>
  <si>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</si>
  <si>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</si>
  <si>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</si>
  <si>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</si>
  <si>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</si>
  <si>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</si>
  <si>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</si>
  <si>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</si>
  <si>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</si>
  <si>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</si>
  <si>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</si>
  <si>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</si>
  <si>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</si>
  <si>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</si>
  <si>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</si>
  <si>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</si>
  <si>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</si>
  <si>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</si>
  <si>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</si>
  <si>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</si>
  <si>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</si>
  <si>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</si>
  <si>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</si>
  <si>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</si>
  <si>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</si>
  <si>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</si>
  <si>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</si>
  <si>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</si>
  <si>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</si>
  <si>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</si>
  <si>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</si>
  <si>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</si>
  <si>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</si>
  <si>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</si>
  <si>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</si>
  <si>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</si>
  <si>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</si>
  <si>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</si>
  <si>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</si>
  <si>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</si>
  <si>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</si>
  <si>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</si>
  <si>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</si>
  <si>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</si>
  <si>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</si>
  <si>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</si>
  <si>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</si>
  <si>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</si>
  <si>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</si>
  <si>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</si>
  <si>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</si>
  <si>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</si>
  <si>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</si>
  <si>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</si>
  <si>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</si>
  <si>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</si>
  <si>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</si>
  <si>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</si>
  <si>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</si>
  <si>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</si>
  <si>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</si>
  <si>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</si>
  <si>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</si>
  <si>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</si>
  <si>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</si>
  <si>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</si>
  <si>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</si>
  <si>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</si>
  <si>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</si>
  <si>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</si>
  <si>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</si>
  <si>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</si>
  <si>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</si>
  <si>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</si>
  <si>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</si>
  <si>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</si>
  <si>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</si>
  <si>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</si>
  <si>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</si>
  <si>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</si>
  <si>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</si>
  <si>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</si>
  <si>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</si>
  <si>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</si>
  <si>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</si>
  <si>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</si>
  <si>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</si>
  <si>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</si>
  <si>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</si>
  <si>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</si>
  <si>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</si>
  <si>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</si>
  <si>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</si>
  <si>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</si>
  <si>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</si>
  <si>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</si>
  <si>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</si>
  <si>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</si>
  <si>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</si>
  <si>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</si>
  <si>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</si>
  <si>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</si>
  <si>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</si>
  <si>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</si>
  <si>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</si>
  <si>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</si>
  <si>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</si>
  <si>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</si>
  <si>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</si>
  <si>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</si>
  <si>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</si>
  <si>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</si>
  <si>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</si>
  <si>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</si>
  <si>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</si>
  <si>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</si>
  <si>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</si>
  <si>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</si>
  <si>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</si>
  <si>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</si>
  <si>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</si>
  <si>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</si>
  <si>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</si>
  <si>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</si>
  <si>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</si>
  <si>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</si>
  <si>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</si>
  <si>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</si>
  <si>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</si>
  <si>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</si>
  <si>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</si>
  <si>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</si>
  <si>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</si>
  <si>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</si>
  <si>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</si>
  <si>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</si>
  <si>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</si>
  <si>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</si>
  <si>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</si>
  <si>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</si>
  <si>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</si>
  <si>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</si>
  <si>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</si>
  <si>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</si>
  <si>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</si>
  <si>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</si>
  <si>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</si>
  <si>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</si>
  <si>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</si>
  <si>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</si>
  <si>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</si>
  <si>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</si>
  <si>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</si>
  <si>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</si>
  <si>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</si>
  <si>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</si>
  <si>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</si>
  <si>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</si>
  <si>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</si>
  <si>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</si>
  <si>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</si>
  <si>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</si>
  <si>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</si>
  <si>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</si>
  <si>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</si>
  <si>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</si>
  <si>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</si>
  <si>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</si>
  <si>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</si>
  <si>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</si>
  <si>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</si>
  <si>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</si>
  <si>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</si>
  <si>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</si>
  <si>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</si>
  <si>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</si>
  <si>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</si>
  <si>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</si>
  <si>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</si>
  <si>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</si>
  <si>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</si>
  <si>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</si>
  <si>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</si>
  <si>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</si>
  <si>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</si>
  <si>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</si>
  <si>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</si>
  <si>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</si>
  <si>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</si>
  <si>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</si>
  <si>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</si>
  <si>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</si>
  <si>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</si>
  <si>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</si>
  <si>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</si>
  <si>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</si>
  <si>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</si>
  <si>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</si>
  <si>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</si>
  <si>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</si>
  <si>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</si>
  <si>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</si>
  <si>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</si>
  <si>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</si>
  <si>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</si>
  <si>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</si>
  <si>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</si>
  <si>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</si>
  <si>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</si>
  <si>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</si>
  <si>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</si>
  <si>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</si>
  <si>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</si>
  <si>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</si>
  <si>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</si>
  <si>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</si>
  <si>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</si>
  <si>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</si>
  <si>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</si>
  <si>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</si>
  <si>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</si>
  <si>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</si>
  <si>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</si>
  <si>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</si>
  <si>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</si>
  <si>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</si>
  <si>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</si>
  <si>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</si>
  <si>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</si>
  <si>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</si>
  <si>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</si>
  <si>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</si>
  <si>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</si>
  <si>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</si>
  <si>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</si>
  <si>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</si>
  <si>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</si>
  <si>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</si>
  <si>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</si>
  <si>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</si>
  <si>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</si>
  <si>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</si>
  <si>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</si>
  <si>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</si>
  <si>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</si>
  <si>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</si>
  <si>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</si>
  <si>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</si>
  <si>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</si>
  <si>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</si>
  <si>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</si>
  <si>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</si>
  <si>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</si>
  <si>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</si>
  <si>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</si>
  <si>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</si>
  <si>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</si>
  <si>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</si>
  <si>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</si>
  <si>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</si>
  <si>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</si>
  <si>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</si>
  <si>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</si>
  <si>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</si>
  <si>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</si>
  <si>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</si>
  <si>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</si>
  <si>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</si>
  <si>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</si>
  <si>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</si>
  <si>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</si>
  <si>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</si>
  <si>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</si>
  <si>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</si>
  <si>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</si>
  <si>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</si>
  <si>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</si>
  <si>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</si>
  <si>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</si>
  <si>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</si>
  <si>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</si>
  <si>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</si>
  <si>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</si>
  <si>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</si>
  <si>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</si>
  <si>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</si>
  <si>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</si>
  <si>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</si>
  <si>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</si>
  <si>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</si>
  <si>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</si>
  <si>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</si>
  <si>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</si>
  <si>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</si>
  <si>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</si>
  <si>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</si>
  <si>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</si>
  <si>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</si>
  <si>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</si>
  <si>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</si>
  <si>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</si>
  <si>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</si>
  <si>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</si>
  <si>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</si>
  <si>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</si>
  <si>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</si>
  <si>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</si>
  <si>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</si>
  <si>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</si>
  <si>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</si>
  <si>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</si>
  <si>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</si>
  <si>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</si>
  <si>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</si>
  <si>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</si>
  <si>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</si>
  <si>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</si>
  <si>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</si>
  <si>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</si>
  <si>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</si>
  <si>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</si>
  <si>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</si>
  <si>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</si>
  <si>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</si>
  <si>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</si>
  <si>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</si>
  <si>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</si>
  <si>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</si>
  <si>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</si>
  <si>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</si>
  <si>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</si>
  <si>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</si>
  <si>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</si>
  <si>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</si>
  <si>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</si>
  <si>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</si>
  <si>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</si>
  <si>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</si>
  <si>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</si>
  <si>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</si>
  <si>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</si>
  <si>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</si>
  <si>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</si>
  <si>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</si>
  <si>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</si>
  <si>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</si>
  <si>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</si>
  <si>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</si>
  <si>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</si>
  <si>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</si>
  <si>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</si>
  <si>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</si>
  <si>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</si>
  <si>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</si>
  <si>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</si>
  <si>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</si>
  <si>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</si>
  <si>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</si>
  <si>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</si>
  <si>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</si>
  <si>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</si>
  <si>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</si>
  <si>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</si>
  <si>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</si>
  <si>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</si>
  <si>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</si>
  <si>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</si>
  <si>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</si>
  <si>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</si>
  <si>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</si>
  <si>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</si>
  <si>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</si>
  <si>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</si>
  <si>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</si>
  <si>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</si>
  <si>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</si>
  <si>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</si>
  <si>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</si>
  <si>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</si>
  <si>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</si>
  <si>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</si>
  <si>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</si>
  <si>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</si>
  <si>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</si>
  <si>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</si>
  <si>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</si>
  <si>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</si>
  <si>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</si>
  <si>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</si>
  <si>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</si>
  <si>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</si>
  <si>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</si>
  <si>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</si>
  <si>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</si>
  <si>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</si>
  <si>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</si>
  <si>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</si>
  <si>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</si>
  <si>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</si>
  <si>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</si>
  <si>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</si>
  <si>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</si>
  <si>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</si>
  <si>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</si>
  <si>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</si>
  <si>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</si>
  <si>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</si>
  <si>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</si>
  <si>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</si>
  <si>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</si>
  <si>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</si>
  <si>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</si>
  <si>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</si>
  <si>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</si>
  <si>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</si>
  <si>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</si>
  <si>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</si>
  <si>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</si>
  <si>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</si>
  <si>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</si>
  <si>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</si>
  <si>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</si>
  <si>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</si>
  <si>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</si>
  <si>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</si>
  <si>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</si>
  <si>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</si>
  <si>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</si>
  <si>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</si>
  <si>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</si>
  <si>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</si>
  <si>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</si>
  <si>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</si>
  <si>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</si>
  <si>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</si>
  <si>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</si>
  <si>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</si>
  <si>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</si>
  <si>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</si>
  <si>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</si>
  <si>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</si>
  <si>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</si>
  <si>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</si>
  <si>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</si>
  <si>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</si>
  <si>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</si>
  <si>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</si>
  <si>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</si>
  <si>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</si>
  <si>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</si>
  <si>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</si>
  <si>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</si>
  <si>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</si>
  <si>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</si>
  <si>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</si>
  <si>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</si>
  <si>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</si>
  <si>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</si>
  <si>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</si>
  <si>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</si>
  <si>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</si>
  <si>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</si>
  <si>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</si>
  <si>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</si>
  <si>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</si>
  <si>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</si>
  <si>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</si>
  <si>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</si>
  <si>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</si>
  <si>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</si>
  <si>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</si>
  <si>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</si>
  <si>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</si>
  <si>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</si>
  <si>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</si>
  <si>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</si>
  <si>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</si>
  <si>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</si>
  <si>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</si>
  <si>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</si>
  <si>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</si>
  <si>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</si>
  <si>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</si>
  <si>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</si>
  <si>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</si>
  <si>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</si>
  <si>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</si>
  <si>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</si>
  <si>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</si>
  <si>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</si>
  <si>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</si>
  <si>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</si>
  <si>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</si>
  <si>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</si>
  <si>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</si>
  <si>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</si>
  <si>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</si>
  <si>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</si>
  <si>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</si>
  <si>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</si>
  <si>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</si>
  <si>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</si>
  <si>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</si>
  <si>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</si>
  <si>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</si>
  <si>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</si>
  <si>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</si>
  <si>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</si>
  <si>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</si>
  <si>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</si>
  <si>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</si>
  <si>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</si>
  <si>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</si>
  <si>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</si>
  <si>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</si>
  <si>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</si>
  <si>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</si>
  <si>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</si>
  <si>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</si>
  <si>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</si>
  <si>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</si>
  <si>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</si>
  <si>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</si>
  <si>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</si>
  <si>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</si>
  <si>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</si>
  <si>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</si>
  <si>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</si>
  <si>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</si>
  <si>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</si>
  <si>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</si>
  <si>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</si>
  <si>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</si>
  <si>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</si>
  <si>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</si>
  <si>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</si>
  <si>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</si>
  <si>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</si>
  <si>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</si>
  <si>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</si>
  <si>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</si>
  <si>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</si>
  <si>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</si>
  <si>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</si>
  <si>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</si>
  <si>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</si>
  <si>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</si>
  <si>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</si>
  <si>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</si>
  <si>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</si>
  <si>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</si>
  <si>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</si>
  <si>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</si>
  <si>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</si>
  <si>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</si>
  <si>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</si>
  <si>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</si>
  <si>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</si>
  <si>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</si>
  <si>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</si>
  <si>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</si>
  <si>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</si>
  <si>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</si>
  <si>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</si>
  <si>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</si>
  <si>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</si>
  <si>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</si>
  <si>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</si>
  <si>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</si>
  <si>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</si>
  <si>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</si>
  <si>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</si>
  <si>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</si>
  <si>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</si>
  <si>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</si>
  <si>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</si>
  <si>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</si>
  <si>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</si>
  <si>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</si>
  <si>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</si>
  <si>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</si>
  <si>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</si>
  <si>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</si>
  <si>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</si>
  <si>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</si>
  <si>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</si>
  <si>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</si>
  <si>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</si>
  <si>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</si>
  <si>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</si>
  <si>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</si>
  <si>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</si>
  <si>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</si>
  <si>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</si>
  <si>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</si>
  <si>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</si>
  <si>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</si>
  <si>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</si>
  <si>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</si>
  <si>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</si>
  <si>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</si>
  <si>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</si>
  <si>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</si>
  <si>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</si>
  <si>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</si>
  <si>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</si>
  <si>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</si>
  <si>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</si>
  <si>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</si>
  <si>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</si>
  <si>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</si>
  <si>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</si>
  <si>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</si>
  <si>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</si>
  <si>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</si>
  <si>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</si>
  <si>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</si>
  <si>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</si>
  <si>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</si>
  <si>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</si>
  <si>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</si>
  <si>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</si>
  <si>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</si>
  <si>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</si>
  <si>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</si>
  <si>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</si>
  <si>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</si>
  <si>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</si>
  <si>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</si>
  <si>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</si>
  <si>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</si>
  <si>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</si>
  <si>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</si>
  <si>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</si>
  <si>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</si>
  <si>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</si>
  <si>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</si>
  <si>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</si>
  <si>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</si>
  <si>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</si>
  <si>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</si>
  <si>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</si>
  <si>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</si>
  <si>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</si>
  <si>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</si>
  <si>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</si>
  <si>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</si>
  <si>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</si>
  <si>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</si>
  <si>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</si>
  <si>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</si>
  <si>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</si>
  <si>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</si>
  <si>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</si>
  <si>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</si>
  <si>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</si>
  <si>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</si>
  <si>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</si>
  <si>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</si>
  <si>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</si>
  <si>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</si>
  <si>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</si>
  <si>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</si>
  <si>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</si>
  <si>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</si>
  <si>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</si>
  <si>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</si>
  <si>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</si>
  <si>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</si>
  <si>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</si>
  <si>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</si>
  <si>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</si>
  <si>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</si>
  <si>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</si>
  <si>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</si>
  <si>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</si>
  <si>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</si>
  <si>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</si>
  <si>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</si>
  <si>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</si>
  <si>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</si>
  <si>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</si>
  <si>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</si>
  <si>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</si>
  <si>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</si>
  <si>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</si>
  <si>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</si>
  <si>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</si>
  <si>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</si>
  <si>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</si>
  <si>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</si>
  <si>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</si>
  <si>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</si>
  <si>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</si>
  <si>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</si>
  <si>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</si>
  <si>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</si>
  <si>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</si>
  <si>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</si>
  <si>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</si>
  <si>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</si>
  <si>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</si>
  <si>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</si>
  <si>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</si>
  <si>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</si>
  <si>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</si>
  <si>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</si>
  <si>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</si>
  <si>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</si>
  <si>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</si>
  <si>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</si>
  <si>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</si>
  <si>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</si>
  <si>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</si>
  <si>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</si>
  <si>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</si>
  <si>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</si>
  <si>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</si>
  <si>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</si>
  <si>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</si>
  <si>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</si>
  <si>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</si>
  <si>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</si>
  <si>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</si>
  <si>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</si>
  <si>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</si>
  <si>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</si>
  <si>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</si>
  <si>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</si>
  <si>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</si>
  <si>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</si>
  <si>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</si>
  <si>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</si>
  <si>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</si>
  <si>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</si>
  <si>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</si>
  <si>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</si>
  <si>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</si>
  <si>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</si>
  <si>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</si>
  <si>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</si>
  <si>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</si>
  <si>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</si>
  <si>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</si>
  <si>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</si>
  <si>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</si>
  <si>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</si>
  <si>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</si>
  <si>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</si>
  <si>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</si>
  <si>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</si>
  <si>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</si>
  <si>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</si>
  <si>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</si>
  <si>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</si>
  <si>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</si>
  <si>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</si>
  <si>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</si>
  <si>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</si>
  <si>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</si>
  <si>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</si>
  <si>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</si>
  <si>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</si>
  <si>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</si>
  <si>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</si>
  <si>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</si>
  <si>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</si>
  <si>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</si>
  <si>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</si>
  <si>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</si>
  <si>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</si>
  <si>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</si>
  <si>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</si>
  <si>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</si>
  <si>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</si>
  <si>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</si>
  <si>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</si>
  <si>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</si>
  <si>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</si>
  <si>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</si>
  <si>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</si>
  <si>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</si>
  <si>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</si>
  <si>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</si>
  <si>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</si>
  <si>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</si>
  <si>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</si>
  <si>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</si>
  <si>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</si>
  <si>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</si>
  <si>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</si>
  <si>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</si>
  <si>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</si>
  <si>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</si>
  <si>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</si>
  <si>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</si>
  <si>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</si>
  <si>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</si>
  <si>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</si>
  <si>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</si>
  <si>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</si>
  <si>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</si>
  <si>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</si>
  <si>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</si>
  <si>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</si>
  <si>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</si>
  <si>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</si>
  <si>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</si>
  <si>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</si>
  <si>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</si>
  <si>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</si>
  <si>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</si>
  <si>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</si>
  <si>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</si>
  <si>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</si>
  <si>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</si>
  <si>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</si>
  <si>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</si>
  <si>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</si>
  <si>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</si>
  <si>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</si>
  <si>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</si>
  <si>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</si>
  <si>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</si>
  <si>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</si>
  <si>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</si>
  <si>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</si>
  <si>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</si>
  <si>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</si>
  <si>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</si>
  <si>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</si>
  <si>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</si>
  <si>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</si>
  <si>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</si>
  <si>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</si>
  <si>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</si>
  <si>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</si>
  <si>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</si>
  <si>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</si>
  <si>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</si>
  <si>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</si>
  <si>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</si>
  <si>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</si>
  <si>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</si>
  <si>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</si>
  <si>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</si>
  <si>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</si>
  <si>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</si>
  <si>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</si>
  <si>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</si>
  <si>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</si>
  <si>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</si>
  <si>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</si>
  <si>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</si>
  <si>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</si>
  <si>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</si>
  <si>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</si>
  <si>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</si>
  <si>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</si>
  <si>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</si>
  <si>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</si>
  <si>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</si>
  <si>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</si>
  <si>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</si>
  <si>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</si>
  <si>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</si>
  <si>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</si>
  <si>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</si>
  <si>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</si>
  <si>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</si>
  <si>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</si>
  <si>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</si>
  <si>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</si>
  <si>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</si>
  <si>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</si>
  <si>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</si>
  <si>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</si>
  <si>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</si>
  <si>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</si>
  <si>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</si>
  <si>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</si>
  <si>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</si>
  <si>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</si>
  <si>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</si>
  <si>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</si>
  <si>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</si>
  <si>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</si>
  <si>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</si>
  <si>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</si>
  <si>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</si>
  <si>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</si>
  <si>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</si>
  <si>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</si>
  <si>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</si>
  <si>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</si>
  <si>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</si>
  <si>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</si>
  <si>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</si>
  <si>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</si>
  <si>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</si>
  <si>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</si>
  <si>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</si>
  <si>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</si>
  <si>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</si>
  <si>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</si>
  <si>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</si>
  <si>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</si>
  <si>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</si>
  <si>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</si>
  <si>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</si>
  <si>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</si>
  <si>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</si>
  <si>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</si>
  <si>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</si>
  <si>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</si>
  <si>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</si>
  <si>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</si>
  <si>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</si>
  <si>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</si>
  <si>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</si>
  <si>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</si>
  <si>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</si>
  <si>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</si>
  <si>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</si>
  <si>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</si>
  <si>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</si>
  <si>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</si>
  <si>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</si>
  <si>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</si>
  <si>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</si>
  <si>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</si>
  <si>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</si>
  <si>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</si>
  <si>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</si>
  <si>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</si>
  <si>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</si>
  <si>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</si>
  <si>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</si>
  <si>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</si>
  <si>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</si>
  <si>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</si>
  <si>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</si>
  <si>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</si>
  <si>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</si>
  <si>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</si>
  <si>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</si>
  <si>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</si>
  <si>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</si>
  <si>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</si>
  <si>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</si>
  <si>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</si>
  <si>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</si>
  <si>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</si>
  <si>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</si>
  <si>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</si>
  <si>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</si>
  <si>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</si>
  <si>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</si>
  <si>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</si>
  <si>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</si>
  <si>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</si>
  <si>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</si>
  <si>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</si>
  <si>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</si>
  <si>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</si>
  <si>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</si>
  <si>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</si>
  <si>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</si>
  <si>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</si>
  <si>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</si>
  <si>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</si>
  <si>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</si>
  <si>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</si>
  <si>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</si>
  <si>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</si>
  <si>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</si>
  <si>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</si>
  <si>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</si>
  <si>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</si>
  <si>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</si>
  <si>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</si>
  <si>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</si>
  <si>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</si>
  <si>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</si>
  <si>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</si>
  <si>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</si>
  <si>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</si>
  <si>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</si>
  <si>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</si>
  <si>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</si>
  <si>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</si>
  <si>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</si>
  <si>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</si>
  <si>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</si>
  <si>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</si>
  <si>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</si>
  <si>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</si>
  <si>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</si>
  <si>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</si>
  <si>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</si>
  <si>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</si>
  <si>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</si>
  <si>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</si>
  <si>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</si>
  <si>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</si>
  <si>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</si>
  <si>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</si>
  <si>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</si>
  <si>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</si>
  <si>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</si>
  <si>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</si>
  <si>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</si>
  <si>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</si>
  <si>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</si>
  <si>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</si>
  <si>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</si>
  <si>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</si>
  <si>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</si>
  <si>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</si>
  <si>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</si>
  <si>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</si>
  <si>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</si>
  <si>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</si>
  <si>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</si>
  <si>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</si>
  <si>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</si>
  <si>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</si>
  <si>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</si>
  <si>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</si>
  <si>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</si>
  <si>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</si>
  <si>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</si>
  <si>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</si>
  <si>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</si>
  <si>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</si>
  <si>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</si>
  <si>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</si>
  <si>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</si>
  <si>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</si>
  <si>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</si>
  <si>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</si>
  <si>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</si>
  <si>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</si>
  <si>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</si>
  <si>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</si>
  <si>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</si>
  <si>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</si>
  <si>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</si>
  <si>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</si>
  <si>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</si>
  <si>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</si>
  <si>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</si>
  <si>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</si>
  <si>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</si>
  <si>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</si>
  <si>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</si>
  <si>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</si>
  <si>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</si>
  <si>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</si>
  <si>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</si>
  <si>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</si>
  <si>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</si>
  <si>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</si>
  <si>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</si>
  <si>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</si>
  <si>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</si>
  <si>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</si>
  <si>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</si>
  <si>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</si>
  <si>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</si>
  <si>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</si>
  <si>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</si>
  <si>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</si>
  <si>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</si>
  <si>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</si>
  <si>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</si>
  <si>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</si>
  <si>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</si>
  <si>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</si>
  <si>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</si>
  <si>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</si>
  <si>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</si>
  <si>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</si>
  <si>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</si>
  <si>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</si>
  <si>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</si>
  <si>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</si>
  <si>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</si>
  <si>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</si>
  <si>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</si>
  <si>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</si>
  <si>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</si>
  <si>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</si>
  <si>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</si>
  <si>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</si>
  <si>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</si>
  <si>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</si>
  <si>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</si>
  <si>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</si>
  <si>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</si>
  <si>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</si>
  <si>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</si>
  <si>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</si>
  <si>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</si>
  <si>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</si>
  <si>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</si>
  <si>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</si>
  <si>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</si>
  <si>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</si>
  <si>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</si>
  <si>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</si>
  <si>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</si>
  <si>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</si>
  <si>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</si>
  <si>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</si>
  <si>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</si>
  <si>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</si>
  <si>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</si>
  <si>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</si>
  <si>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</si>
  <si>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</si>
  <si>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</si>
  <si>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</si>
  <si>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</si>
  <si>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</si>
  <si>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</si>
  <si>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</si>
  <si>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</si>
  <si>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</si>
  <si>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</si>
  <si>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</si>
  <si>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</si>
  <si>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</si>
  <si>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</si>
  <si>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</si>
  <si>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</si>
  <si>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</si>
  <si>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</si>
  <si>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</si>
  <si>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</si>
  <si>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</si>
  <si>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</si>
  <si>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</si>
  <si>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</si>
  <si>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</si>
  <si>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</si>
  <si>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</si>
  <si>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</si>
  <si>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</si>
  <si>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</si>
  <si>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</si>
  <si>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</si>
  <si>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</si>
  <si>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</si>
  <si>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</si>
  <si>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</si>
  <si>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</si>
  <si>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</si>
  <si>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</si>
  <si>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</si>
  <si>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</si>
  <si>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</si>
  <si>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</si>
  <si>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</si>
  <si>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</si>
  <si>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</si>
  <si>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</si>
  <si>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</si>
  <si>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</si>
  <si>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</si>
  <si>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</si>
  <si>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</si>
  <si>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</si>
  <si>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</si>
  <si>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</si>
  <si>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</si>
  <si>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</si>
  <si>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</si>
  <si>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</si>
  <si>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</si>
  <si>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</si>
  <si>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</si>
  <si>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</si>
  <si>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</si>
  <si>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</si>
  <si>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</si>
  <si>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</si>
  <si>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</si>
  <si>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</si>
  <si>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</si>
  <si>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</si>
  <si>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</si>
  <si>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</si>
  <si>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</si>
  <si>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</si>
  <si>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</si>
  <si>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</si>
  <si>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</si>
  <si>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</si>
  <si>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</si>
  <si>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</si>
  <si>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</si>
  <si>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</si>
  <si>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</si>
  <si>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</si>
  <si>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</si>
  <si>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</si>
  <si>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</si>
  <si>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</si>
  <si>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</si>
  <si>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</si>
  <si>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</si>
  <si>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</si>
  <si>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</si>
  <si>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</si>
  <si>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</si>
  <si>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</si>
  <si>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</si>
  <si>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</si>
  <si>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</si>
  <si>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</si>
  <si>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</si>
  <si>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</si>
  <si>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</si>
  <si>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</si>
  <si>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</si>
  <si>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</si>
  <si>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</si>
  <si>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</si>
  <si>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</si>
  <si>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</si>
  <si>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</si>
  <si>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</si>
  <si>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</si>
  <si>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</si>
  <si>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</si>
  <si>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</si>
  <si>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</si>
  <si>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</si>
  <si>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</si>
  <si>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</si>
  <si>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</si>
  <si>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</si>
  <si>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</si>
  <si>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</si>
  <si>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</si>
  <si>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</si>
  <si>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</si>
  <si>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</si>
  <si>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</si>
  <si>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</si>
  <si>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</si>
  <si>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</si>
  <si>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</si>
  <si>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</si>
  <si>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</si>
  <si>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</si>
  <si>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</si>
  <si>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</si>
  <si>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</si>
  <si>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</si>
  <si>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</si>
  <si>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</si>
  <si>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</si>
  <si>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</si>
  <si>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</si>
  <si>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</si>
  <si>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</si>
  <si>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</si>
  <si>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</si>
  <si>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</si>
  <si>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</si>
  <si>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</si>
  <si>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</si>
  <si>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</si>
  <si>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</si>
  <si>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</si>
  <si>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</si>
  <si>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</si>
  <si>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</si>
  <si>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</si>
  <si>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</si>
  <si>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</si>
  <si>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</si>
  <si>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</si>
  <si>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</si>
  <si>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</si>
  <si>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</si>
  <si>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</si>
  <si>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</si>
  <si>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</si>
  <si>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</si>
  <si>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</si>
  <si>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</si>
  <si>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</si>
  <si>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</si>
  <si>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</si>
  <si>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</si>
  <si>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</si>
  <si>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</si>
  <si>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</si>
  <si>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</si>
  <si>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</si>
  <si>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</si>
  <si>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</si>
  <si>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</si>
  <si>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</si>
  <si>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</si>
  <si>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</si>
  <si>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</si>
  <si>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</si>
  <si>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</si>
  <si>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</si>
  <si>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</si>
  <si>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</si>
  <si>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</si>
  <si>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</si>
  <si>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</si>
  <si>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</si>
  <si>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</si>
  <si>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</si>
  <si>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</si>
  <si>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</si>
  <si>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</si>
  <si>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</si>
  <si>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</si>
  <si>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</si>
  <si>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</si>
  <si>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</si>
  <si>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</si>
  <si>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</si>
  <si>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</si>
  <si>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</si>
  <si>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</si>
  <si>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</si>
  <si>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</si>
  <si>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</si>
  <si>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</si>
  <si>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</si>
  <si>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</si>
  <si>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</si>
  <si>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</si>
  <si>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</si>
  <si>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</si>
  <si>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</si>
  <si>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</si>
  <si>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</si>
  <si>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</si>
  <si>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</si>
  <si>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</si>
  <si>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</si>
  <si>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</si>
  <si>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</si>
  <si>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</si>
  <si>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</si>
  <si>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</si>
  <si>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</si>
  <si>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</si>
  <si>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</si>
  <si>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</si>
  <si>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</si>
  <si>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</si>
  <si>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</si>
  <si>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</si>
  <si>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</si>
  <si>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</si>
  <si>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</si>
  <si>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</si>
  <si>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</si>
  <si>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</si>
  <si>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</si>
  <si>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</si>
  <si>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</si>
  <si>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</si>
  <si>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</si>
  <si>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</si>
  <si>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</si>
  <si>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</si>
  <si>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</si>
  <si>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</si>
  <si>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</si>
  <si>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</si>
  <si>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</si>
  <si>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</si>
  <si>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</si>
  <si>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</si>
  <si>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</si>
  <si>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</si>
  <si>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</si>
  <si>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</si>
  <si>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</si>
  <si>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</si>
  <si>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</si>
  <si>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</si>
  <si>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</si>
  <si>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</si>
  <si>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</si>
  <si>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</si>
  <si>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</si>
  <si>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</si>
  <si>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</si>
  <si>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</si>
  <si>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</si>
  <si>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</si>
  <si>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</si>
  <si>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</si>
  <si>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</si>
  <si>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</si>
  <si>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</si>
  <si>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</si>
  <si>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</si>
  <si>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</si>
  <si>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</si>
  <si>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</si>
  <si>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</si>
  <si>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</si>
  <si>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</si>
  <si>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</si>
  <si>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</si>
  <si>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</si>
  <si>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</si>
  <si>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</si>
  <si>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</si>
  <si>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</si>
  <si>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</si>
  <si>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</si>
  <si>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</si>
  <si>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</si>
  <si>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</si>
  <si>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</si>
  <si>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</si>
  <si>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</si>
  <si>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</si>
  <si>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</si>
  <si>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</si>
  <si>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</si>
  <si>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</si>
  <si>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</si>
  <si>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</si>
  <si>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</si>
  <si>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</si>
  <si>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</si>
  <si>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</si>
  <si>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</si>
  <si>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</si>
  <si>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</si>
  <si>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</si>
  <si>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</si>
  <si>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</si>
  <si>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</si>
  <si>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</si>
  <si>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</si>
  <si>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</si>
  <si>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</si>
  <si>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</si>
  <si>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</si>
  <si>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</si>
  <si>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</si>
  <si>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</si>
  <si>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</si>
  <si>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</si>
  <si>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</si>
  <si>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</si>
  <si>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</si>
  <si>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</si>
  <si>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</si>
  <si>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</si>
  <si>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</si>
  <si>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</si>
  <si>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</si>
  <si>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</si>
  <si>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</si>
  <si>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</si>
  <si>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</si>
  <si>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</si>
  <si>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</si>
  <si>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</si>
  <si>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</si>
  <si>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</si>
  <si>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</si>
  <si>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</si>
  <si>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</si>
  <si>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</si>
  <si>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</si>
  <si>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</si>
  <si>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</si>
  <si>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</si>
  <si>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</si>
  <si>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</si>
  <si>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</si>
  <si>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</si>
  <si>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</si>
  <si>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</si>
  <si>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</si>
  <si>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</si>
  <si>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</si>
  <si>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</si>
  <si>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</si>
  <si>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</si>
  <si>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</si>
  <si>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</si>
  <si>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</si>
  <si>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</si>
  <si>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</si>
  <si>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</si>
  <si>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</si>
  <si>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</si>
  <si>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</si>
  <si>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</si>
  <si>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</si>
  <si>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</si>
  <si>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</si>
  <si>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</si>
  <si>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</si>
  <si>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</si>
  <si>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</si>
  <si>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</si>
  <si>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</si>
  <si>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</si>
  <si>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</si>
  <si>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</si>
  <si>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</si>
  <si>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</si>
  <si>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</si>
  <si>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</si>
  <si>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</si>
  <si>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</si>
  <si>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</si>
  <si>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</si>
  <si>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</si>
  <si>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</si>
  <si>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</si>
  <si>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</si>
  <si>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</si>
  <si>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</si>
  <si>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</si>
  <si>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</si>
  <si>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</si>
  <si>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</si>
  <si>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</si>
  <si>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</si>
  <si>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</si>
  <si>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</si>
  <si>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</si>
  <si>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</si>
  <si>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</si>
  <si>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</si>
  <si>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</si>
  <si>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</si>
  <si>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</si>
  <si>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</si>
  <si>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</si>
  <si>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</si>
  <si>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</si>
  <si>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</si>
  <si>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</si>
  <si>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</si>
  <si>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</si>
  <si>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</si>
  <si>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</si>
  <si>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</si>
  <si>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</si>
  <si>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</si>
  <si>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</si>
  <si>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</si>
  <si>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</si>
  <si>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</si>
  <si>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</si>
  <si>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</si>
  <si>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</si>
  <si>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</si>
  <si>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</si>
  <si>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</si>
  <si>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</si>
  <si>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</si>
  <si>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</si>
  <si>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</si>
  <si>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</si>
  <si>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</si>
  <si>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</si>
  <si>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</si>
  <si>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</si>
  <si>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</si>
  <si>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</si>
  <si>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</si>
  <si>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</si>
  <si>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</si>
  <si>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</si>
  <si>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</si>
  <si>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</si>
  <si>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</si>
  <si>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</si>
  <si>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</si>
  <si>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</si>
  <si>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</si>
  <si>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</si>
  <si>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</si>
  <si>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</si>
  <si>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</si>
  <si>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</si>
  <si>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</si>
  <si>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</si>
  <si>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</si>
  <si>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</si>
  <si>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</si>
  <si>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</si>
  <si>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</si>
  <si>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</si>
  <si>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</si>
  <si>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</si>
  <si>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</si>
  <si>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</si>
  <si>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</si>
  <si>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</si>
  <si>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</si>
  <si>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</si>
  <si>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</si>
  <si>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</si>
  <si>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</si>
  <si>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</si>
  <si>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</si>
  <si>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</si>
  <si>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</si>
  <si>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</si>
  <si>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</si>
  <si>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</si>
  <si>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</si>
  <si>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</si>
  <si>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</si>
  <si>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</si>
  <si>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</si>
  <si>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</si>
  <si>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</si>
  <si>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</si>
  <si>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</si>
  <si>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</si>
  <si>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</si>
  <si>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</si>
  <si>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</si>
  <si>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</si>
  <si>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</si>
  <si>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</si>
  <si>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</si>
  <si>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</si>
  <si>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</si>
  <si>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</si>
  <si>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</si>
  <si>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</si>
  <si>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</si>
  <si>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</si>
  <si>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</si>
  <si>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</si>
  <si>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</si>
  <si>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</si>
  <si>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</si>
  <si>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</si>
  <si>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</si>
  <si>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</si>
  <si>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</si>
  <si>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</si>
  <si>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</si>
  <si>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</si>
  <si>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</si>
  <si>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</si>
  <si>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</si>
  <si>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</si>
  <si>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</si>
  <si>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</si>
  <si>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</si>
  <si>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</si>
  <si>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</si>
  <si>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</si>
  <si>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</si>
  <si>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</si>
  <si>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</si>
  <si>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</si>
  <si>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</si>
  <si>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</si>
  <si>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</si>
  <si>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</si>
  <si>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</si>
  <si>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</si>
  <si>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</si>
  <si>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</si>
  <si>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</si>
  <si>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</si>
  <si>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</si>
  <si>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</si>
  <si>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</si>
  <si>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</si>
  <si>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</si>
  <si>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</si>
  <si>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</si>
  <si>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</si>
  <si>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</si>
  <si>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</si>
  <si>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</si>
  <si>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</si>
  <si>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</si>
  <si>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</si>
  <si>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</si>
  <si>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</si>
  <si>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</si>
  <si>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</si>
  <si>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</si>
  <si>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</si>
  <si>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</si>
  <si>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</si>
  <si>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</si>
  <si>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</si>
  <si>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</si>
  <si>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</si>
  <si>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</si>
  <si>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</si>
  <si>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</si>
  <si>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</si>
  <si>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</si>
  <si>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</si>
  <si>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</si>
  <si>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</si>
  <si>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</si>
  <si>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</si>
  <si>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</si>
  <si>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</si>
  <si>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</si>
  <si>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</si>
  <si>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</si>
  <si>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</si>
  <si>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</si>
  <si>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</si>
  <si>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</si>
  <si>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</si>
  <si>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</si>
  <si>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</si>
  <si>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</si>
  <si>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</si>
  <si>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</si>
  <si>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</si>
  <si>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</si>
  <si>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</si>
  <si>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</si>
  <si>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</si>
  <si>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</si>
  <si>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</si>
  <si>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</si>
  <si>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</si>
  <si>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</si>
  <si>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</si>
  <si>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</si>
  <si>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</si>
  <si>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</si>
  <si>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</si>
  <si>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</si>
  <si>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</si>
  <si>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</si>
  <si>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</si>
  <si>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</si>
  <si>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</si>
  <si>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</si>
  <si>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</si>
  <si>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</si>
  <si>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</si>
  <si>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</si>
  <si>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</si>
  <si>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</si>
  <si>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</si>
  <si>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</si>
  <si>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</si>
  <si>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</si>
  <si>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</si>
  <si>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</si>
  <si>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</si>
  <si>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</si>
  <si>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</si>
  <si>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</si>
  <si>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</si>
  <si>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</si>
  <si>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</si>
  <si>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</si>
  <si>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</si>
  <si>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</si>
  <si>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</si>
  <si>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</si>
  <si>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</si>
  <si>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</si>
  <si>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</si>
  <si>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</si>
  <si>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</si>
  <si>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</si>
  <si>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</si>
  <si>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</si>
  <si>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</si>
  <si>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</si>
  <si>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</si>
  <si>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</si>
  <si>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</si>
  <si>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</si>
  <si>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</si>
  <si>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</si>
  <si>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</si>
  <si>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</si>
  <si>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</si>
  <si>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</si>
  <si>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</si>
  <si>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</si>
  <si>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</si>
  <si>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</si>
  <si>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</si>
  <si>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</si>
  <si>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</si>
  <si>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</si>
  <si>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</si>
  <si>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</si>
  <si>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</si>
  <si>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</si>
  <si>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</si>
  <si>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</si>
  <si>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</si>
  <si>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</si>
  <si>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</si>
  <si>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</si>
  <si>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</si>
  <si>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</si>
  <si>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</si>
  <si>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</si>
  <si>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</si>
  <si>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</si>
  <si>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</si>
  <si>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</si>
  <si>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</si>
  <si>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</si>
  <si>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</si>
  <si>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</si>
  <si>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</si>
  <si>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</si>
  <si>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</si>
  <si>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</si>
  <si>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</si>
  <si>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</si>
  <si>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</si>
  <si>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</si>
  <si>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</si>
  <si>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</si>
  <si>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</si>
  <si>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</si>
  <si>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</si>
  <si>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</si>
  <si>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</si>
  <si>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</si>
  <si>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</si>
  <si>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</si>
  <si>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</si>
  <si>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</si>
  <si>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</si>
  <si>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</si>
  <si>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</si>
  <si>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</si>
  <si>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</si>
  <si>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</si>
  <si>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</si>
  <si>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</si>
  <si>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</si>
  <si>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</si>
  <si>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</si>
  <si>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</si>
  <si>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</si>
  <si>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</si>
  <si>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</si>
  <si>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</si>
  <si>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</si>
  <si>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</si>
  <si>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</si>
  <si>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</si>
  <si>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</si>
  <si>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</si>
  <si>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</si>
  <si>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</si>
  <si>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</si>
  <si>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</si>
  <si>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</si>
  <si>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</si>
  <si>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</si>
  <si>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</si>
  <si>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</si>
  <si>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</si>
  <si>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</si>
  <si>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</si>
  <si>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</si>
  <si>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</si>
  <si>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</si>
  <si>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</si>
  <si>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</si>
  <si>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</si>
  <si>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</si>
  <si>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</si>
  <si>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</si>
  <si>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</si>
  <si>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</si>
  <si>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</si>
  <si>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</si>
  <si>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</si>
  <si>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</si>
  <si>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</si>
  <si>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</si>
  <si>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</si>
  <si>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</si>
  <si>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</si>
  <si>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</si>
  <si>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</si>
  <si>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</si>
  <si>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</si>
  <si>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</si>
  <si>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</si>
  <si>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</si>
  <si>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</si>
  <si>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</si>
  <si>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</si>
  <si>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</si>
  <si>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</si>
  <si>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</si>
  <si>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</si>
  <si>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</si>
  <si>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</si>
  <si>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</si>
  <si>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</si>
  <si>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</si>
  <si>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</si>
  <si>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</si>
  <si>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</si>
  <si>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</si>
  <si>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</si>
  <si>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</si>
  <si>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</si>
  <si>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</si>
  <si>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</si>
  <si>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</si>
  <si>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</si>
  <si>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</si>
  <si>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</si>
  <si>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</si>
  <si>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</si>
  <si>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</si>
  <si>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</si>
  <si>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</si>
  <si>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</si>
  <si>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</si>
  <si>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</si>
  <si>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</si>
  <si>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</si>
  <si>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</si>
  <si>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</si>
  <si>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</si>
  <si>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</si>
  <si>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</si>
  <si>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</si>
  <si>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</si>
  <si>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</si>
  <si>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</si>
  <si>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</si>
  <si>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</si>
  <si>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</si>
  <si>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</si>
  <si>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</si>
  <si>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</si>
  <si>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</si>
  <si>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</si>
  <si>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</si>
  <si>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</si>
  <si>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</si>
  <si>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</si>
  <si>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</si>
  <si>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</si>
  <si>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</si>
  <si>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</si>
  <si>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</si>
  <si>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</si>
  <si>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</si>
  <si>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</si>
  <si>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</si>
  <si>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</si>
  <si>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</si>
  <si>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</si>
  <si>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</si>
  <si>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</si>
  <si>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</si>
  <si>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</si>
  <si>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</si>
  <si>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</si>
  <si>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</si>
  <si>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</si>
  <si>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</si>
  <si>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</si>
  <si>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</si>
  <si>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</si>
  <si>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</si>
  <si>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</si>
  <si>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</si>
  <si>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</si>
  <si>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</si>
  <si>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</si>
  <si>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</si>
  <si>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</si>
  <si>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</si>
  <si>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</si>
  <si>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</si>
  <si>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</si>
  <si>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</si>
  <si>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</si>
  <si>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</si>
  <si>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</si>
  <si>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</si>
  <si>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</si>
  <si>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</si>
  <si>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</si>
  <si>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</si>
  <si>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</si>
  <si>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</si>
  <si>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</si>
  <si>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</si>
  <si>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</si>
  <si>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</si>
  <si>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</si>
  <si>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</si>
  <si>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</si>
  <si>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</si>
  <si>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</si>
  <si>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</si>
  <si>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</si>
  <si>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</si>
  <si>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</si>
  <si>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</si>
  <si>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</si>
  <si>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</si>
  <si>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</si>
  <si>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</si>
  <si>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</si>
  <si>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</si>
  <si>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</si>
  <si>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</si>
  <si>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</si>
  <si>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</si>
  <si>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</si>
  <si>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</si>
  <si>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</si>
  <si>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</si>
  <si>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</si>
  <si>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</si>
  <si>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</si>
  <si>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</si>
  <si>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</si>
  <si>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</si>
  <si>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</si>
  <si>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</si>
  <si>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</si>
  <si>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</si>
  <si>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</si>
  <si>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</si>
  <si>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</si>
  <si>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</si>
  <si>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</si>
  <si>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</si>
  <si>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</si>
  <si>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</si>
  <si>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</si>
  <si>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</si>
  <si>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</si>
  <si>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</si>
  <si>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</si>
  <si>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</si>
  <si>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</si>
  <si>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</si>
  <si>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</si>
  <si>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</si>
  <si>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</si>
  <si>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</si>
  <si>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</si>
  <si>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</si>
  <si>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</si>
  <si>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</si>
  <si>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</si>
  <si>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</si>
  <si>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</si>
  <si>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</si>
  <si>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</si>
  <si>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</si>
  <si>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</si>
  <si>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</si>
  <si>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</si>
  <si>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</si>
  <si>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</si>
  <si>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</si>
  <si>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</si>
  <si>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</si>
  <si>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</si>
  <si>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</si>
  <si>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</si>
  <si>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</si>
  <si>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</si>
  <si>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</si>
  <si>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</si>
  <si>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</si>
  <si>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</si>
  <si>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</si>
  <si>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</si>
  <si>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</si>
  <si>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</si>
  <si>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</si>
  <si>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</si>
  <si>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</si>
  <si>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</si>
  <si>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</si>
  <si>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</si>
  <si>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</si>
  <si>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</si>
  <si>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</si>
  <si>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</si>
  <si>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</si>
  <si>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</si>
  <si>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</si>
  <si>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</si>
  <si>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</si>
  <si>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</si>
  <si>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</si>
  <si>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</si>
  <si>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</si>
  <si>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</si>
  <si>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</si>
  <si>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</si>
  <si>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</si>
  <si>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</si>
  <si>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</si>
  <si>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</si>
  <si>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</si>
  <si>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</si>
  <si>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</si>
  <si>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</si>
  <si>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</si>
  <si>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</si>
  <si>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</si>
  <si>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</si>
  <si>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</si>
  <si>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</si>
  <si>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</si>
  <si>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</si>
  <si>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</si>
  <si>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</si>
  <si>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</si>
  <si>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</si>
  <si>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</si>
  <si>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</si>
  <si>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</si>
  <si>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</si>
  <si>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</si>
  <si>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</si>
  <si>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</si>
  <si>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</si>
  <si>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</si>
  <si>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</si>
  <si>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</si>
  <si>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</si>
  <si>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</si>
  <si>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</si>
  <si>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</si>
  <si>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</si>
  <si>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</si>
  <si>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</si>
  <si>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</si>
  <si>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</si>
  <si>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</si>
  <si>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</si>
  <si>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</si>
  <si>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</si>
  <si>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</si>
  <si>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</si>
  <si>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</si>
  <si>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</si>
  <si>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</si>
  <si>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</si>
  <si>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</si>
  <si>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</si>
  <si>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</si>
  <si>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</si>
  <si>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</si>
  <si>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</si>
  <si>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</si>
  <si>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</si>
  <si>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</si>
  <si>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</si>
  <si>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</si>
  <si>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</si>
  <si>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</si>
  <si>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</si>
  <si>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</si>
  <si>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</si>
  <si>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</si>
  <si>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</si>
  <si>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</si>
  <si>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</si>
  <si>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</si>
  <si>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</si>
  <si>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</si>
  <si>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</si>
  <si>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</si>
  <si>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</si>
  <si>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</si>
  <si>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</si>
  <si>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</si>
  <si>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</si>
  <si>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</si>
  <si>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</si>
  <si>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</si>
  <si>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</si>
  <si>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</si>
  <si>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</si>
  <si>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</si>
  <si>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</si>
  <si>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</si>
  <si>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</si>
  <si>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</si>
  <si>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</si>
  <si>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</si>
  <si>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</si>
  <si>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</si>
  <si>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</si>
  <si>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</si>
  <si>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</si>
  <si>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</si>
  <si>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</si>
  <si>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</si>
  <si>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</si>
  <si>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</si>
  <si>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</si>
  <si>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</si>
  <si>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</si>
  <si>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</si>
  <si>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</si>
  <si>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</si>
  <si>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</si>
  <si>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</si>
  <si>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</si>
  <si>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</si>
  <si>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</si>
  <si>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</si>
  <si>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</si>
  <si>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</si>
  <si>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</si>
  <si>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</si>
  <si>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</si>
  <si>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</si>
  <si>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</si>
  <si>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</si>
  <si>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</si>
  <si>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</si>
  <si>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</si>
  <si>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</si>
  <si>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</si>
  <si>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</si>
  <si>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</si>
  <si>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</si>
  <si>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</si>
  <si>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</si>
  <si>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</si>
  <si>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</si>
  <si>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</si>
  <si>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</si>
  <si>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</si>
  <si>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</si>
  <si>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</si>
  <si>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</si>
  <si>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</si>
  <si>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</si>
  <si>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</si>
  <si>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</si>
  <si>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</si>
  <si>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</si>
  <si>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</si>
  <si>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</si>
  <si>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</si>
  <si>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</si>
  <si>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</si>
  <si>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</si>
  <si>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</si>
  <si>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</si>
  <si>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</si>
  <si>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</si>
  <si>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</si>
  <si>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</si>
  <si>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</si>
  <si>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</si>
  <si>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</si>
  <si>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</si>
  <si>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</si>
  <si>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</si>
  <si>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</si>
  <si>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</si>
  <si>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</si>
  <si>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</si>
  <si>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</si>
  <si>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</si>
  <si>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</si>
  <si>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</si>
  <si>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</si>
  <si>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</si>
  <si>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</si>
  <si>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</si>
  <si>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</si>
  <si>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</si>
  <si>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</si>
  <si>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</si>
  <si>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</si>
  <si>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</si>
  <si>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</si>
  <si>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</si>
  <si>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</si>
  <si>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</si>
  <si>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</si>
  <si>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</si>
  <si>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</si>
  <si>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</si>
  <si>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</si>
  <si>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</si>
  <si>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</si>
  <si>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</si>
  <si>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</si>
  <si>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</si>
  <si>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</si>
  <si>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</si>
  <si>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</si>
  <si>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</si>
  <si>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</si>
  <si>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</si>
  <si>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</si>
  <si>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</si>
  <si>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</si>
  <si>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</si>
  <si>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</si>
  <si>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</si>
  <si>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</si>
  <si>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</si>
  <si>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</si>
  <si>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</si>
  <si>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</si>
  <si>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</si>
  <si>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</si>
  <si>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</si>
  <si>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</si>
  <si>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</si>
  <si>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</si>
  <si>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</si>
  <si>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</si>
  <si>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</si>
  <si>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</si>
  <si>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</si>
  <si>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</si>
  <si>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</si>
  <si>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</si>
  <si>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</si>
  <si>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</si>
  <si>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</si>
  <si>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</si>
  <si>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</si>
  <si>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</si>
  <si>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</si>
  <si>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</si>
  <si>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</si>
  <si>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</si>
  <si>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</si>
  <si>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</si>
  <si>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</si>
  <si>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</si>
  <si>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</si>
  <si>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</si>
  <si>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</si>
  <si>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</si>
  <si>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</si>
  <si>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</si>
  <si>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</si>
  <si>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</si>
  <si>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</si>
  <si>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</si>
  <si>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</si>
  <si>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</si>
  <si>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</si>
  <si>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</si>
  <si>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</si>
  <si>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</si>
  <si>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</si>
  <si>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</si>
  <si>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</si>
  <si>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</si>
  <si>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</si>
  <si>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</si>
  <si>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</si>
  <si>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</si>
  <si>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</si>
  <si>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</si>
  <si>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</si>
  <si>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</si>
  <si>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</si>
  <si>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</si>
  <si>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</si>
  <si>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</si>
  <si>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</si>
  <si>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</si>
  <si>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</si>
  <si>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</si>
  <si>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</si>
  <si>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</si>
  <si>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</si>
  <si>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</si>
  <si>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</si>
  <si>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</si>
  <si>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</si>
  <si>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</si>
  <si>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</si>
  <si>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</si>
  <si>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</si>
  <si>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</si>
  <si>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</si>
  <si>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</si>
  <si>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</si>
  <si>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</si>
  <si>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</si>
  <si>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</si>
  <si>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</si>
  <si>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</si>
  <si>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</si>
  <si>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</si>
  <si>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</si>
  <si>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</si>
  <si>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</si>
  <si>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</si>
  <si>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</si>
  <si>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</si>
  <si>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</si>
  <si>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</si>
  <si>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</si>
  <si>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</si>
  <si>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</si>
  <si>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</si>
  <si>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</si>
  <si>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</si>
  <si>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</si>
  <si>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</si>
  <si>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</si>
  <si>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</si>
  <si>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</si>
  <si>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</si>
  <si>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</si>
  <si>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</si>
  <si>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</si>
  <si>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</si>
  <si>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</si>
  <si>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</si>
  <si>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</si>
  <si>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</si>
  <si>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</si>
  <si>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</si>
  <si>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</si>
  <si>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</si>
  <si>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</si>
  <si>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</si>
  <si>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</si>
  <si>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</si>
  <si>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</si>
  <si>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</si>
  <si>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</si>
  <si>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</si>
  <si>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</si>
  <si>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</si>
  <si>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</si>
  <si>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</si>
  <si>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</si>
  <si>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</si>
  <si>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</si>
  <si>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</si>
  <si>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</si>
  <si>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</si>
  <si>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</si>
  <si>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</si>
  <si>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</si>
  <si>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</si>
  <si>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</si>
  <si>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</si>
  <si>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</si>
  <si>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</si>
  <si>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</si>
  <si>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</si>
  <si>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</si>
  <si>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</si>
  <si>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</si>
  <si>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</si>
  <si>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</si>
  <si>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</si>
  <si>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</si>
  <si>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</si>
  <si>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</si>
  <si>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</si>
  <si>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</si>
  <si>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</si>
  <si>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</si>
  <si>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</si>
  <si>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</si>
  <si>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</si>
  <si>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</si>
  <si>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</si>
  <si>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</si>
  <si>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</si>
  <si>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</si>
  <si>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</si>
  <si>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</si>
  <si>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</si>
  <si>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</si>
  <si>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</si>
  <si>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</si>
  <si>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</si>
  <si>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</si>
  <si>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</si>
  <si>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</si>
  <si>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</si>
  <si>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</si>
  <si>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</si>
  <si>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</si>
  <si>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</si>
  <si>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</si>
  <si>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</si>
  <si>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</si>
  <si>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</si>
  <si>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</si>
  <si>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</si>
  <si>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</si>
  <si>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</si>
  <si>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</si>
  <si>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</si>
  <si>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</si>
  <si>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</si>
  <si>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</si>
  <si>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</si>
  <si>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</si>
  <si>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</si>
  <si>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</si>
  <si>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</si>
  <si>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</si>
  <si>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</si>
  <si>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</si>
  <si>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</si>
  <si>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</si>
  <si>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</si>
  <si>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</si>
  <si>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</si>
  <si>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</si>
  <si>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</si>
  <si>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</si>
  <si>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</si>
  <si>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</si>
  <si>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</si>
  <si>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</si>
  <si>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</si>
  <si>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</si>
  <si>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</si>
  <si>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</si>
  <si>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</si>
  <si>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</si>
  <si>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</si>
  <si>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</si>
  <si>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</si>
  <si>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</si>
  <si>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</si>
  <si>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</si>
  <si>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</si>
  <si>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</si>
  <si>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</si>
  <si>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</si>
  <si>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</si>
  <si>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</si>
  <si>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</si>
  <si>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</si>
  <si>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</si>
  <si>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</si>
  <si>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</si>
  <si>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</si>
  <si>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</si>
  <si>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</si>
  <si>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</si>
  <si>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</si>
  <si>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</si>
  <si>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</si>
  <si>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</si>
  <si>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</si>
  <si>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</si>
  <si>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</si>
  <si>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</si>
  <si>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</si>
  <si>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</si>
  <si>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</si>
  <si>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</si>
  <si>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</si>
  <si>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</si>
  <si>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</si>
  <si>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</si>
  <si>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</si>
  <si>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</si>
  <si>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</si>
  <si>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</si>
  <si>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</si>
  <si>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</si>
  <si>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</si>
  <si>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</si>
  <si>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</si>
  <si>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</si>
  <si>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</si>
  <si>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</si>
  <si>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</si>
  <si>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</si>
  <si>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</si>
  <si>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</si>
  <si>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</si>
  <si>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</si>
  <si>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</si>
  <si>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</si>
  <si>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</si>
  <si>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</si>
  <si>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</si>
  <si>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</si>
  <si>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</si>
  <si>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</si>
  <si>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</si>
  <si>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</si>
  <si>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</si>
  <si>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</si>
  <si>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</si>
  <si>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</si>
  <si>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</si>
  <si>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</si>
  <si>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</si>
  <si>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</si>
  <si>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</si>
  <si>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</si>
  <si>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</si>
  <si>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</si>
  <si>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</si>
  <si>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</si>
  <si>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</si>
  <si>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</si>
  <si>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</si>
  <si>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</si>
  <si>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</si>
  <si>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</si>
  <si>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</si>
  <si>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</si>
  <si>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</si>
  <si>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</si>
  <si>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</si>
  <si>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</si>
  <si>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</si>
  <si>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</si>
  <si>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</si>
  <si>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</si>
  <si>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</si>
  <si>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</si>
  <si>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</si>
  <si>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</si>
  <si>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</si>
  <si>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</si>
  <si>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</si>
  <si>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</si>
  <si>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</si>
  <si>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</si>
  <si>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</si>
  <si>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</si>
  <si>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</si>
  <si>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</si>
  <si>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</si>
  <si>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</si>
  <si>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</si>
  <si>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</si>
  <si>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</si>
  <si>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</si>
  <si>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</si>
  <si>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</si>
  <si>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</si>
  <si>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</si>
  <si>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</si>
  <si>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</si>
  <si>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</si>
  <si>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</si>
  <si>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</si>
  <si>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</si>
  <si>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</si>
  <si>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</si>
  <si>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</si>
  <si>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</si>
  <si>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</si>
  <si>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</si>
  <si>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</si>
  <si>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</si>
  <si>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</si>
  <si>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</si>
  <si>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</si>
  <si>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</si>
  <si>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</si>
  <si>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</si>
  <si>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</si>
  <si>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</si>
  <si>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</si>
  <si>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</si>
  <si>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</si>
  <si>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</si>
  <si>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</si>
  <si>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</si>
  <si>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</si>
  <si>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</si>
  <si>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</si>
  <si>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</si>
  <si>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</si>
  <si>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</si>
  <si>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</si>
  <si>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</si>
  <si>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</si>
  <si>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</si>
  <si>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</si>
  <si>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</si>
  <si>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</si>
  <si>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</si>
  <si>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</si>
  <si>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</si>
  <si>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</si>
  <si>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</si>
  <si>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</si>
  <si>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</si>
  <si>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</si>
  <si>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</si>
  <si>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</si>
  <si>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</si>
  <si>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</si>
  <si>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</si>
  <si>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</si>
  <si>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</si>
  <si>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</si>
  <si>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</si>
  <si>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</si>
  <si>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</si>
  <si>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</si>
  <si>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</si>
  <si>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</si>
  <si>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</si>
  <si>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</si>
  <si>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</si>
  <si>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</si>
  <si>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</si>
  <si>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</si>
  <si>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</si>
  <si>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</si>
  <si>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</si>
  <si>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</si>
  <si>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</si>
  <si>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</si>
  <si>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</si>
  <si>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</si>
  <si>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</si>
  <si>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</si>
  <si>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</si>
  <si>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</si>
  <si>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</si>
  <si>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</si>
  <si>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</si>
  <si>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</si>
  <si>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</si>
  <si>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</si>
  <si>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</si>
  <si>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</si>
  <si>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</si>
  <si>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</si>
  <si>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</si>
  <si>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</si>
  <si>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</si>
  <si>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</si>
  <si>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</si>
  <si>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</si>
  <si>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</si>
  <si>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</si>
  <si>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</si>
  <si>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</si>
  <si>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</si>
  <si>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</si>
  <si>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</si>
  <si>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</si>
  <si>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</si>
  <si>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</si>
  <si>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</si>
  <si>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</si>
  <si>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</si>
  <si>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</si>
  <si>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</si>
  <si>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</si>
  <si>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</si>
  <si>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</si>
  <si>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</si>
  <si>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</si>
  <si>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</si>
  <si>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</si>
  <si>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</si>
  <si>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</si>
  <si>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</si>
  <si>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</si>
  <si>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</si>
  <si>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</si>
  <si>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</si>
  <si>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</si>
  <si>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</si>
  <si>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</si>
  <si>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</si>
  <si>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</si>
  <si>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</si>
  <si>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</si>
  <si>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</si>
  <si>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</si>
  <si>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</si>
  <si>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</si>
  <si>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</si>
  <si>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</si>
  <si>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</si>
  <si>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</si>
  <si>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</si>
  <si>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</si>
  <si>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</si>
  <si>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</si>
  <si>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</si>
  <si>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</si>
  <si>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</si>
  <si>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</si>
  <si>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</si>
  <si>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</si>
  <si>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</si>
  <si>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</si>
  <si>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</si>
  <si>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</si>
  <si>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</si>
  <si>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</si>
  <si>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</si>
  <si>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</si>
  <si>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</si>
  <si>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</si>
  <si>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</si>
  <si>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</si>
  <si>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</si>
  <si>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</si>
  <si>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</si>
  <si>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</si>
  <si>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</si>
  <si>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</si>
  <si>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</si>
  <si>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</si>
  <si>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</si>
  <si>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</si>
  <si>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</si>
  <si>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</si>
  <si>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</si>
  <si>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</si>
  <si>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</si>
  <si>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</si>
  <si>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</si>
  <si>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</si>
  <si>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</si>
  <si>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</si>
  <si>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</si>
  <si>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</si>
  <si>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</si>
  <si>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</si>
  <si>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</si>
  <si>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</si>
  <si>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</si>
  <si>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</si>
  <si>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</si>
  <si>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</si>
  <si>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</si>
  <si>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</si>
  <si>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</si>
  <si>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</si>
  <si>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</si>
  <si>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</si>
  <si>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</si>
  <si>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</si>
  <si>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</si>
  <si>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</si>
  <si>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</si>
  <si>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</si>
  <si>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</si>
  <si>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</si>
  <si>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</si>
  <si>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</si>
  <si>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</si>
  <si>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</si>
  <si>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</si>
  <si>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</si>
  <si>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</si>
  <si>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</si>
  <si>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</si>
  <si>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</si>
  <si>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</si>
  <si>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</si>
  <si>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</si>
  <si>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</si>
  <si>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</si>
  <si>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</si>
  <si>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</si>
  <si>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</si>
  <si>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</si>
  <si>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</si>
  <si>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</si>
  <si>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</si>
  <si>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</si>
  <si>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</si>
  <si>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</si>
  <si>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</si>
  <si>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</si>
  <si>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</si>
  <si>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</si>
  <si>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</si>
  <si>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</si>
  <si>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</si>
  <si>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</si>
  <si>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</si>
  <si>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</si>
  <si>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</si>
  <si>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</si>
  <si>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</si>
  <si>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</si>
  <si>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</si>
  <si>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</si>
  <si>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</si>
  <si>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</si>
  <si>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</si>
  <si>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</si>
  <si>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</si>
  <si>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</si>
  <si>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</si>
  <si>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</si>
  <si>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</si>
  <si>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</si>
  <si>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</si>
  <si>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</si>
  <si>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</si>
  <si>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</si>
  <si>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</si>
  <si>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</si>
  <si>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</si>
  <si>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</si>
  <si>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</si>
  <si>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</si>
  <si>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</si>
  <si>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</si>
  <si>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</si>
  <si>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</si>
  <si>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</si>
  <si>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</si>
  <si>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</si>
  <si>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</si>
  <si>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</si>
  <si>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</si>
  <si>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</si>
  <si>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</si>
  <si>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</si>
  <si>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</si>
  <si>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</si>
  <si>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</si>
  <si>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</si>
  <si>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</si>
  <si>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</si>
  <si>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</si>
  <si>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</si>
  <si>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</si>
  <si>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</si>
  <si>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</si>
  <si>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</si>
  <si>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</si>
  <si>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</si>
  <si>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</si>
  <si>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</si>
  <si>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</si>
  <si>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</si>
  <si>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</si>
  <si>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</si>
  <si>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</si>
  <si>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</si>
  <si>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</si>
  <si>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</si>
  <si>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</si>
  <si>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</si>
  <si>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</si>
  <si>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</si>
  <si>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</si>
  <si>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</si>
  <si>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</si>
  <si>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</si>
  <si>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</si>
  <si>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</si>
  <si>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</si>
  <si>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</si>
  <si>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</si>
  <si>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</si>
  <si>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</si>
  <si>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</si>
  <si>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</si>
  <si>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</si>
  <si>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</si>
  <si>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</si>
  <si>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</si>
  <si>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</si>
  <si>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</si>
  <si>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</si>
  <si>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</si>
  <si>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</si>
  <si>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</si>
  <si>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</si>
  <si>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</si>
  <si>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</si>
  <si>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</si>
  <si>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</si>
  <si>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</si>
  <si>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</si>
  <si>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</si>
  <si>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</si>
  <si>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</si>
  <si>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</si>
  <si>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</si>
  <si>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</si>
  <si>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</si>
  <si>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</si>
  <si>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</si>
  <si>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</si>
  <si>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</si>
  <si>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</si>
  <si>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</si>
  <si>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</si>
  <si>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</si>
  <si>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</si>
  <si>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</si>
  <si>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</si>
  <si>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</si>
  <si>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</si>
  <si>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</si>
  <si>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</si>
  <si>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</si>
  <si>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</si>
  <si>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</si>
  <si>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</si>
  <si>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</si>
  <si>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</si>
  <si>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</si>
  <si>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</si>
  <si>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</si>
  <si>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</si>
  <si>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</si>
  <si>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</si>
  <si>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</si>
  <si>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</si>
  <si>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</si>
  <si>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</si>
  <si>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</si>
  <si>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</si>
  <si>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</si>
  <si>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</si>
  <si>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</si>
  <si>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</si>
  <si>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</si>
  <si>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</si>
  <si>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</si>
  <si>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</si>
  <si>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</si>
  <si>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</si>
  <si>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</si>
  <si>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</si>
  <si>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</si>
  <si>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</si>
  <si>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</si>
  <si>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</si>
  <si>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</si>
  <si>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</si>
  <si>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</si>
  <si>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</si>
  <si>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</si>
  <si>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</si>
  <si>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</si>
  <si>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</si>
  <si>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</si>
  <si>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</si>
  <si>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</si>
  <si>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</si>
  <si>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</si>
  <si>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</si>
  <si>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</si>
  <si>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</si>
  <si>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</si>
  <si>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</si>
  <si>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</si>
  <si>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</si>
  <si>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</si>
  <si>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</si>
  <si>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</si>
  <si>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</si>
  <si>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</si>
  <si>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</si>
  <si>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</si>
  <si>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</si>
  <si>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</si>
  <si>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</si>
  <si>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</si>
  <si>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</si>
  <si>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</si>
  <si>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</si>
  <si>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</si>
  <si>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</si>
  <si>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</si>
  <si>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</si>
  <si>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</si>
  <si>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</si>
  <si>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</si>
  <si>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</si>
  <si>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</si>
  <si>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</si>
  <si>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</si>
  <si>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</si>
  <si>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</si>
  <si>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</si>
  <si>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</si>
  <si>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</si>
  <si>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</si>
  <si>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</si>
  <si>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</si>
  <si>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</si>
  <si>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</si>
  <si>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</si>
  <si>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</si>
  <si>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</si>
  <si>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</si>
  <si>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</si>
  <si>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</si>
  <si>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</si>
  <si>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</si>
  <si>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</si>
  <si>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</si>
  <si>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</si>
  <si>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</si>
  <si>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</si>
  <si>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</si>
  <si>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</si>
  <si>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</si>
  <si>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</si>
  <si>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</si>
  <si>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</si>
  <si>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</si>
  <si>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</si>
  <si>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</si>
  <si>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</si>
  <si>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</si>
  <si>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</si>
  <si>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</si>
  <si>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</si>
  <si>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</si>
  <si>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</si>
  <si>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</si>
  <si>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</si>
  <si>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</si>
  <si>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</si>
  <si>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</si>
  <si>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</si>
  <si>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</si>
  <si>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</si>
  <si>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</si>
  <si>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</si>
  <si>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</si>
  <si>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</si>
  <si>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</si>
  <si>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</si>
  <si>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</si>
  <si>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</si>
  <si>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</si>
  <si>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</si>
  <si>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</si>
  <si>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</si>
  <si>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</si>
  <si>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</si>
  <si>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</si>
  <si>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</si>
  <si>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</si>
  <si>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</si>
  <si>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</si>
  <si>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</si>
  <si>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</si>
  <si>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</si>
  <si>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</si>
  <si>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</si>
  <si>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</si>
  <si>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</si>
  <si>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</si>
  <si>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</si>
  <si>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</si>
  <si>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</si>
  <si>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</si>
  <si>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</si>
  <si>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</si>
  <si>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</si>
  <si>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</si>
  <si>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</si>
  <si>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</si>
  <si>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</si>
  <si>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</si>
  <si>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</si>
  <si>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</si>
  <si>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</si>
  <si>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</si>
  <si>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</si>
  <si>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</si>
  <si>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</si>
  <si>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</si>
  <si>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</si>
  <si>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</si>
  <si>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</si>
  <si>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</si>
  <si>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</si>
  <si>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</si>
  <si>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</si>
  <si>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</si>
  <si>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</si>
  <si>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</si>
  <si>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</si>
  <si>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</si>
  <si>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</si>
  <si>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</si>
  <si>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</si>
  <si>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</si>
  <si>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</si>
  <si>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</si>
  <si>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</si>
  <si>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</si>
  <si>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</si>
  <si>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</si>
  <si>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</si>
  <si>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</si>
  <si>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</si>
  <si>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</si>
  <si>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</si>
  <si>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</si>
  <si>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</si>
  <si>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</si>
  <si>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</si>
  <si>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</si>
  <si>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</si>
  <si>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</si>
  <si>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</si>
  <si>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</si>
  <si>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</si>
  <si>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</si>
  <si>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</si>
  <si>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</si>
  <si>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</si>
  <si>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</si>
  <si>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</si>
  <si>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</si>
  <si>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</si>
  <si>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</si>
  <si>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</si>
  <si>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</si>
  <si>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</si>
  <si>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</si>
  <si>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</si>
  <si>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</si>
  <si>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</si>
  <si>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</si>
  <si>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</si>
  <si>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</si>
  <si>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</si>
  <si>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</si>
  <si>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</si>
  <si>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</si>
  <si>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</si>
  <si>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</si>
  <si>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</si>
  <si>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</si>
  <si>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</si>
  <si>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</si>
  <si>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</si>
  <si>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</si>
  <si>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</si>
  <si>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</si>
  <si>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</si>
  <si>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</si>
  <si>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</si>
  <si>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</si>
  <si>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</si>
  <si>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</si>
  <si>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</si>
  <si>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</si>
  <si>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</si>
  <si>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</si>
  <si>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</si>
  <si>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</si>
  <si>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</si>
  <si>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</si>
  <si>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</si>
  <si>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</si>
  <si>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</si>
  <si>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</si>
  <si>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</si>
  <si>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</si>
  <si>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</si>
  <si>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</si>
  <si>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</si>
  <si>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</si>
  <si>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</si>
  <si>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</si>
  <si>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</si>
  <si>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</si>
  <si>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</si>
  <si>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</si>
  <si>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</si>
  <si>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</si>
  <si>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</si>
  <si>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</si>
  <si>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</si>
  <si>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</si>
  <si>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</si>
  <si>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</si>
  <si>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</si>
  <si>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</si>
  <si>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</si>
  <si>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</si>
  <si>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</si>
  <si>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</si>
  <si>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</si>
  <si>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</si>
  <si>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</si>
  <si>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</si>
  <si>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</si>
  <si>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</si>
  <si>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</si>
  <si>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</si>
  <si>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</si>
  <si>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</si>
  <si>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</si>
  <si>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</si>
  <si>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</si>
  <si>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</si>
  <si>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</si>
  <si>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</si>
  <si>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</si>
  <si>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</si>
  <si>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</si>
  <si>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</si>
  <si>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</si>
  <si>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</si>
  <si>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</si>
  <si>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</si>
  <si>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</si>
  <si>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</si>
  <si>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</si>
  <si>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</si>
  <si>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</si>
  <si>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</si>
  <si>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</si>
  <si>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</si>
  <si>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</si>
  <si>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</si>
  <si>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</si>
  <si>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</si>
  <si>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</si>
  <si>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</si>
  <si>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</si>
  <si>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</si>
  <si>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</si>
  <si>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</si>
  <si>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</si>
  <si>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</si>
  <si>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</si>
  <si>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</si>
  <si>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</si>
  <si>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</si>
  <si>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</si>
  <si>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</si>
  <si>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</si>
  <si>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</si>
  <si>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</si>
  <si>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</si>
  <si>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</si>
  <si>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</si>
  <si>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</si>
  <si>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</si>
  <si>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</si>
  <si>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</si>
  <si>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</si>
  <si>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</si>
  <si>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</si>
  <si>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</si>
  <si>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</si>
  <si>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</si>
  <si>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</si>
  <si>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</si>
  <si>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</si>
  <si>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</si>
  <si>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</si>
  <si>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</si>
  <si>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</si>
  <si>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</si>
  <si>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</si>
  <si>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</si>
  <si>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</si>
  <si>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</si>
  <si>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</si>
  <si>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</si>
  <si>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</si>
  <si>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</si>
  <si>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</si>
  <si>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</si>
  <si>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</si>
  <si>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</si>
  <si>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</si>
  <si>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</si>
  <si>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</si>
  <si>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</si>
  <si>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</si>
  <si>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</si>
  <si>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</si>
  <si>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</si>
  <si>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</si>
  <si>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</si>
  <si>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</si>
  <si>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</si>
  <si>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</si>
  <si>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</si>
  <si>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</si>
  <si>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</si>
  <si>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</si>
  <si>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</si>
  <si>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</si>
  <si>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</si>
  <si>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</si>
  <si>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</si>
  <si>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</si>
  <si>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</si>
  <si>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</si>
  <si>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</si>
  <si>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</si>
  <si>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</si>
  <si>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</si>
  <si>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</si>
  <si>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</si>
  <si>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</si>
  <si>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</si>
  <si>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</si>
  <si>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</si>
  <si>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</si>
  <si>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</si>
  <si>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</si>
  <si>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</si>
  <si>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</si>
  <si>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</si>
  <si>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</si>
  <si>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</si>
  <si>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</si>
  <si>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</si>
  <si>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</si>
  <si>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</si>
  <si>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</si>
  <si>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</si>
  <si>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</si>
  <si>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</si>
  <si>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</si>
  <si>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</si>
  <si>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</si>
  <si>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</si>
  <si>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</si>
  <si>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</si>
  <si>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</si>
  <si>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</si>
  <si>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</si>
  <si>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</si>
  <si>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</si>
  <si>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</si>
  <si>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</si>
  <si>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</si>
  <si>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</si>
  <si>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</si>
  <si>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</si>
  <si>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</si>
  <si>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</si>
  <si>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</si>
  <si>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</si>
  <si>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</si>
  <si>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</si>
  <si>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</si>
  <si>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</si>
  <si>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</si>
  <si>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</si>
  <si>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</si>
  <si>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</si>
  <si>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</si>
  <si>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</si>
  <si>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</si>
  <si>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</si>
  <si>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</si>
  <si>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</si>
  <si>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</si>
  <si>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</si>
  <si>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</si>
  <si>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</si>
  <si>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</si>
  <si>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</si>
  <si>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</si>
  <si>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</si>
  <si>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</si>
  <si>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</si>
  <si>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</si>
  <si>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</si>
  <si>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</si>
  <si>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</si>
  <si>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</si>
  <si>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</si>
  <si>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</si>
  <si>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</si>
  <si>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</si>
  <si>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</si>
  <si>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</si>
  <si>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</si>
  <si>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</si>
  <si>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</si>
  <si>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</si>
  <si>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</si>
  <si>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</si>
  <si>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</si>
  <si>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</si>
  <si>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</si>
  <si>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</si>
  <si>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</si>
  <si>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</si>
  <si>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</si>
  <si>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</si>
  <si>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</si>
  <si>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</si>
  <si>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</si>
  <si>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</si>
  <si>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</si>
  <si>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</si>
  <si>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</si>
  <si>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</si>
  <si>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</si>
  <si>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</si>
  <si>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</si>
  <si>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</si>
  <si>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</si>
  <si>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</si>
  <si>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</si>
  <si>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</si>
  <si>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</si>
  <si>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</si>
  <si>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</si>
  <si>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</si>
  <si>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</si>
  <si>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</si>
  <si>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</si>
  <si>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</si>
  <si>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</si>
  <si>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</si>
  <si>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</si>
  <si>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</si>
  <si>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</si>
  <si>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</si>
  <si>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</si>
  <si>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</si>
  <si>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</si>
  <si>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</si>
  <si>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</si>
  <si>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</si>
  <si>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</si>
  <si>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</si>
  <si>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</si>
  <si>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</si>
  <si>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</si>
  <si>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</si>
  <si>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</si>
  <si>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</si>
  <si>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</si>
  <si>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</si>
  <si>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</si>
  <si>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</si>
  <si>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</si>
  <si>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</si>
  <si>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</si>
  <si>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</si>
  <si>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</si>
  <si>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</si>
  <si>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</si>
  <si>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</si>
  <si>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</si>
  <si>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</si>
  <si>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</si>
  <si>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</si>
  <si>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</si>
  <si>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</si>
  <si>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</si>
  <si>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</si>
  <si>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</si>
  <si>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</si>
  <si>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</si>
  <si>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</si>
  <si>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</si>
  <si>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</si>
  <si>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</si>
  <si>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</si>
  <si>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</si>
  <si>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</si>
  <si>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</si>
  <si>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</si>
  <si>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</si>
  <si>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</si>
  <si>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</si>
  <si>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</si>
  <si>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</si>
  <si>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</si>
  <si>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</si>
  <si>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</si>
  <si>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</si>
  <si>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</si>
  <si>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</si>
  <si>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</si>
  <si>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</si>
  <si>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</si>
  <si>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</si>
  <si>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</si>
  <si>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</si>
  <si>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</si>
  <si>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</si>
  <si>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</si>
  <si>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</si>
  <si>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</si>
  <si>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</si>
  <si>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</si>
  <si>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</si>
  <si>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</si>
  <si>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</si>
  <si>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</si>
  <si>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</si>
  <si>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</si>
  <si>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</si>
  <si>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</si>
  <si>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</si>
  <si>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</si>
  <si>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</si>
  <si>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</si>
  <si>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</si>
  <si>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</si>
  <si>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</si>
  <si>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</si>
  <si>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</si>
  <si>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</si>
  <si>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</si>
  <si>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</si>
  <si>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</si>
  <si>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</si>
  <si>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</si>
  <si>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</si>
  <si>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</si>
  <si>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</si>
  <si>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</si>
  <si>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</si>
  <si>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</si>
  <si>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</si>
  <si>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</si>
  <si>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</si>
  <si>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</si>
  <si>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</si>
  <si>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</si>
  <si>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</si>
  <si>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</si>
  <si>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</si>
  <si>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</si>
  <si>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</si>
  <si>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</si>
  <si>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</si>
  <si>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</si>
  <si>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</si>
  <si>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</si>
  <si>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</si>
  <si>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</si>
  <si>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</si>
  <si>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</si>
  <si>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</si>
  <si>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</si>
  <si>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</si>
  <si>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</si>
  <si>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</si>
  <si>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</si>
  <si>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</si>
  <si>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</si>
  <si>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</si>
  <si>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</si>
  <si>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</si>
  <si>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</si>
  <si>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</si>
  <si>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</si>
  <si>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</si>
  <si>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</si>
  <si>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</si>
  <si>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</si>
  <si>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</si>
  <si>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</si>
  <si>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</si>
  <si>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</si>
  <si>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</si>
  <si>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</si>
  <si>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</si>
  <si>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</si>
  <si>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</si>
  <si>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</si>
  <si>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</si>
  <si>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</si>
  <si>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</si>
  <si>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</si>
  <si>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</si>
  <si>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</si>
  <si>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</si>
  <si>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</si>
  <si>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</si>
  <si>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</si>
  <si>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</si>
  <si>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</si>
  <si>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</si>
  <si>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</si>
  <si>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</si>
  <si>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</si>
  <si>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</si>
  <si>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</si>
  <si>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</si>
  <si>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</si>
  <si>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</si>
  <si>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</si>
  <si>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</si>
  <si>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</si>
  <si>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</si>
  <si>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</si>
  <si>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</si>
  <si>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</si>
  <si>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</si>
  <si>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</si>
  <si>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</si>
  <si>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</si>
  <si>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</si>
  <si>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</si>
  <si>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</si>
  <si>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</si>
  <si>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</si>
  <si>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</si>
  <si>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</si>
  <si>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</si>
  <si>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</si>
  <si>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</si>
  <si>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</si>
  <si>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</si>
  <si>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</si>
  <si>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</si>
  <si>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</si>
  <si>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</si>
  <si>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</si>
  <si>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</si>
  <si>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</si>
  <si>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</si>
  <si>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</si>
  <si>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</si>
  <si>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</si>
  <si>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</si>
  <si>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</si>
  <si>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</si>
  <si>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</si>
  <si>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</si>
  <si>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</si>
  <si>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</si>
  <si>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</si>
  <si>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</si>
  <si>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</si>
  <si>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</si>
  <si>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</si>
  <si>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</si>
  <si>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</si>
  <si>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</si>
  <si>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</si>
  <si>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</si>
  <si>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</si>
  <si>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</si>
  <si>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</si>
  <si>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</si>
  <si>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</si>
  <si>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</si>
  <si>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</si>
  <si>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</si>
  <si>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</si>
  <si>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</si>
  <si>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</si>
  <si>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</si>
  <si>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</si>
  <si>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</si>
  <si>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</si>
  <si>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</si>
  <si>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</si>
  <si>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</si>
  <si>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</si>
  <si>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</si>
  <si>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</si>
  <si>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</si>
  <si>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</si>
  <si>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</si>
  <si>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</si>
  <si>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</si>
  <si>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</si>
  <si>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</si>
  <si>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</si>
  <si>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</si>
  <si>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</si>
  <si>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</si>
  <si>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</si>
  <si>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</si>
  <si>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</si>
  <si>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</si>
  <si>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</si>
  <si>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</si>
  <si>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</si>
  <si>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</si>
  <si>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</si>
  <si>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</si>
  <si>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</si>
  <si>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</si>
  <si>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</si>
  <si>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</si>
  <si>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</si>
  <si>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</si>
  <si>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</si>
  <si>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</si>
  <si>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</si>
  <si>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</si>
  <si>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</si>
  <si>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</si>
  <si>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</si>
  <si>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</si>
  <si>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</si>
  <si>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</si>
  <si>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</si>
  <si>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</si>
  <si>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</si>
  <si>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</si>
  <si>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</si>
  <si>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</si>
  <si>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</si>
  <si>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</si>
  <si>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</si>
  <si>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</si>
  <si>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</si>
  <si>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</si>
  <si>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</si>
  <si>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</si>
  <si>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</si>
  <si>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</si>
  <si>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</si>
  <si>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</si>
  <si>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</si>
  <si>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</si>
  <si>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</si>
  <si>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</si>
  <si>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</si>
  <si>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</si>
  <si>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</si>
  <si>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</si>
  <si>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</si>
  <si>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</si>
  <si>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</si>
  <si>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</si>
  <si>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</si>
  <si>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</si>
  <si>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</si>
  <si>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</si>
  <si>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</si>
  <si>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</si>
  <si>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</si>
  <si>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</si>
  <si>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</si>
  <si>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</si>
  <si>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</si>
  <si>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</si>
  <si>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</si>
  <si>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</si>
  <si>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</si>
  <si>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</si>
  <si>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</si>
  <si>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</si>
  <si>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</si>
  <si>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</si>
  <si>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</si>
  <si>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</si>
  <si>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</si>
  <si>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</si>
  <si>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</si>
  <si>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</si>
  <si>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</si>
  <si>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</si>
  <si>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</si>
  <si>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</si>
  <si>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</si>
  <si>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</si>
  <si>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</si>
  <si>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</si>
  <si>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</si>
  <si>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</si>
  <si>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</si>
  <si>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</si>
  <si>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</si>
  <si>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</si>
  <si>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</si>
  <si>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</si>
  <si>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</si>
  <si>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</si>
  <si>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</si>
  <si>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</si>
  <si>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</si>
  <si>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</si>
  <si>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</si>
  <si>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</si>
  <si>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</si>
  <si>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</si>
  <si>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</si>
  <si>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</si>
  <si>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</si>
  <si>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</si>
  <si>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</si>
  <si>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</si>
  <si>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</si>
  <si>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</si>
  <si>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</si>
  <si>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</si>
  <si>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</si>
  <si>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</si>
  <si>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</si>
  <si>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</si>
  <si>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</si>
  <si>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</si>
  <si>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</si>
  <si>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</si>
  <si>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</si>
  <si>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</si>
  <si>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</si>
  <si>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</si>
  <si>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</si>
  <si>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</si>
  <si>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</si>
  <si>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</si>
  <si>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</si>
  <si>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</si>
  <si>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</si>
  <si>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</si>
  <si>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</si>
  <si>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</si>
  <si>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</si>
  <si>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</si>
  <si>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</si>
  <si>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</si>
  <si>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</si>
  <si>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</si>
  <si>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</si>
  <si>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</si>
  <si>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</si>
  <si>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</si>
  <si>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</si>
  <si>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</si>
  <si>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</si>
  <si>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</si>
  <si>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</si>
  <si>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</si>
  <si>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</si>
  <si>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</si>
  <si>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</si>
  <si>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</si>
  <si>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</si>
  <si>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</si>
  <si>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</si>
  <si>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</si>
  <si>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</si>
  <si>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</si>
  <si>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</si>
  <si>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</si>
  <si>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</si>
  <si>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</si>
  <si>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</si>
  <si>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</si>
  <si>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</si>
  <si>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</si>
  <si>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</si>
  <si>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</si>
  <si>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</si>
  <si>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</si>
  <si>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</si>
  <si>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</si>
  <si>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</si>
  <si>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</si>
  <si>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</si>
  <si>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</si>
  <si>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</si>
  <si>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</si>
  <si>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</si>
  <si>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</si>
  <si>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</si>
  <si>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</si>
  <si>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</si>
  <si>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</si>
  <si>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</si>
  <si>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</si>
  <si>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</si>
  <si>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</si>
  <si>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</si>
  <si>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</si>
  <si>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</si>
  <si>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</si>
  <si>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</si>
  <si>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</si>
  <si>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</si>
  <si>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</si>
  <si>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</si>
  <si>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</si>
  <si>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</si>
  <si>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</si>
  <si>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</si>
  <si>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</si>
  <si>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</si>
  <si>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</si>
  <si>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</si>
  <si>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</si>
  <si>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</si>
  <si>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</si>
  <si>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</si>
  <si>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</si>
  <si>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</si>
  <si>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</si>
  <si>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</si>
  <si>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</si>
  <si>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</si>
  <si>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</si>
  <si>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</si>
  <si>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</si>
  <si>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</si>
  <si>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</si>
  <si>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</si>
  <si>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</si>
  <si>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</si>
  <si>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</si>
  <si>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</si>
  <si>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</si>
  <si>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</si>
  <si>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</si>
  <si>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</si>
  <si>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</si>
  <si>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</si>
  <si>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</si>
  <si>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</si>
  <si>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</si>
  <si>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</si>
  <si>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</si>
  <si>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</si>
  <si>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</si>
  <si>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</si>
  <si>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</si>
  <si>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</si>
  <si>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</si>
  <si>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</si>
  <si>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</si>
  <si>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</si>
  <si>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</si>
  <si>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</si>
  <si>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</si>
  <si>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</si>
  <si>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</si>
  <si>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</si>
  <si>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</si>
  <si>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</si>
  <si>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</si>
  <si>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</si>
  <si>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</si>
  <si>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</si>
  <si>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</si>
  <si>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</si>
  <si>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</si>
  <si>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</si>
  <si>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</si>
  <si>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</si>
  <si>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</si>
  <si>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</si>
  <si>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</si>
  <si>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</si>
  <si>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</si>
  <si>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</si>
  <si>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</si>
  <si>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</si>
  <si>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</si>
  <si>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</si>
  <si>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</si>
  <si>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</si>
  <si>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</si>
  <si>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</si>
  <si>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</si>
  <si>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</si>
  <si>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</si>
  <si>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</si>
  <si>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</si>
  <si>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</si>
  <si>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</si>
  <si>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</si>
  <si>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</si>
  <si>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</si>
  <si>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</si>
  <si>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</si>
  <si>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</si>
  <si>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</si>
  <si>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</si>
  <si>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</si>
  <si>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</si>
  <si>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</si>
  <si>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</si>
  <si>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</si>
  <si>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</si>
  <si>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</si>
  <si>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</si>
  <si>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</si>
  <si>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</si>
  <si>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</si>
  <si>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</si>
  <si>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</si>
  <si>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</si>
  <si>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</si>
  <si>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</si>
  <si>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</si>
  <si>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</si>
  <si>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</si>
  <si>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</si>
  <si>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</si>
  <si>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</si>
  <si>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</si>
  <si>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</si>
  <si>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</si>
  <si>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</si>
  <si>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</si>
  <si>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</si>
  <si>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</si>
  <si>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</si>
  <si>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</si>
  <si>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</si>
  <si>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</si>
  <si>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</si>
  <si>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</si>
  <si>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</si>
  <si>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</si>
  <si>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</si>
  <si>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</si>
  <si>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</si>
  <si>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</si>
  <si>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</si>
  <si>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</si>
  <si>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</si>
  <si>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</si>
  <si>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</si>
  <si>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</si>
  <si>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</si>
  <si>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</si>
  <si>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</si>
  <si>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</si>
  <si>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</si>
  <si>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</si>
  <si>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</si>
  <si>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</si>
  <si>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</si>
  <si>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</si>
  <si>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</si>
  <si>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</si>
  <si>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</si>
  <si>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</si>
  <si>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</si>
  <si>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</si>
  <si>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</si>
  <si>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</si>
  <si>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</si>
  <si>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</si>
  <si>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</si>
  <si>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</si>
  <si>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</si>
  <si>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</si>
  <si>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</si>
  <si>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</si>
  <si>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</si>
  <si>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</si>
  <si>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</si>
  <si>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</si>
  <si>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</si>
  <si>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</si>
  <si>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</si>
  <si>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</si>
  <si>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</si>
  <si>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</si>
  <si>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</si>
  <si>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</si>
  <si>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</si>
  <si>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</si>
  <si>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</si>
  <si>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</si>
  <si>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</si>
  <si>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</si>
  <si>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</si>
  <si>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</si>
  <si>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</si>
  <si>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</si>
  <si>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</si>
  <si>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</si>
  <si>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</si>
  <si>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</si>
  <si>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</si>
  <si>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</si>
  <si>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</si>
  <si>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</si>
  <si>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</si>
  <si>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</si>
  <si>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</si>
  <si>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</si>
  <si>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</si>
  <si>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</si>
  <si>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</si>
  <si>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</si>
  <si>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</si>
  <si>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</si>
  <si>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</si>
  <si>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</si>
  <si>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</si>
  <si>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</si>
  <si>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</si>
  <si>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</si>
  <si>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</si>
  <si>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</si>
  <si>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</si>
  <si>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</si>
  <si>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</si>
  <si>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</si>
  <si>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</si>
  <si>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</si>
  <si>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</si>
  <si>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</si>
  <si>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</si>
  <si>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</si>
  <si>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</si>
  <si>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</si>
  <si>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</si>
  <si>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</si>
  <si>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</si>
  <si>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</si>
  <si>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</si>
  <si>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</si>
  <si>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</si>
  <si>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</si>
  <si>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</si>
  <si>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</si>
  <si>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</si>
  <si>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</si>
  <si>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</si>
  <si>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</si>
  <si>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</si>
  <si>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</si>
  <si>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</si>
  <si>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</si>
  <si>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</si>
  <si>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</si>
  <si>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</si>
  <si>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</si>
  <si>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</si>
  <si>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</si>
  <si>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</si>
  <si>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</si>
  <si>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</si>
  <si>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</si>
  <si>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</si>
  <si>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</si>
  <si>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</si>
  <si>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</si>
  <si>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</si>
  <si>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</si>
  <si>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</si>
  <si>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</si>
  <si>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</si>
  <si>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</si>
  <si>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</si>
  <si>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</si>
  <si>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</si>
  <si>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</si>
  <si>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</si>
  <si>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</si>
  <si>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</si>
  <si>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</si>
  <si>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</si>
  <si>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</si>
  <si>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</si>
  <si>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</si>
  <si>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</si>
  <si>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</si>
  <si>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</si>
  <si>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</si>
  <si>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</si>
  <si>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</si>
  <si>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</si>
  <si>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</si>
  <si>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</si>
  <si>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</si>
  <si>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</si>
  <si>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</si>
  <si>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</si>
  <si>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</si>
  <si>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</si>
  <si>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</si>
  <si>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</si>
  <si>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</si>
  <si>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</si>
  <si>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</si>
  <si>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</si>
  <si>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</si>
  <si>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</si>
  <si>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</si>
  <si>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</si>
  <si>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</si>
  <si>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</si>
  <si>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</si>
  <si>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</si>
  <si>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</si>
  <si>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</si>
  <si>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</si>
  <si>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</si>
  <si>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</si>
  <si>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</si>
  <si>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</si>
  <si>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</si>
  <si>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</si>
  <si>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</si>
  <si>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</si>
  <si>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</si>
  <si>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</si>
  <si>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</si>
  <si>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</si>
  <si>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</si>
  <si>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</si>
  <si>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</si>
  <si>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</si>
  <si>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</si>
  <si>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</si>
  <si>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</si>
  <si>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</si>
  <si>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</si>
  <si>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</si>
  <si>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</si>
  <si>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</si>
  <si>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</si>
  <si>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</si>
  <si>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</si>
  <si>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</si>
  <si>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</si>
  <si>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</si>
  <si>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</si>
  <si>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</si>
  <si>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</si>
  <si>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</si>
  <si>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</si>
  <si>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</si>
  <si>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</si>
  <si>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</si>
  <si>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</si>
  <si>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</si>
  <si>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</si>
  <si>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</si>
  <si>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</si>
  <si>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</si>
  <si>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</si>
  <si>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</si>
  <si>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</si>
  <si>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</si>
  <si>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</si>
  <si>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</si>
  <si>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</si>
  <si>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</si>
  <si>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</si>
  <si>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</si>
  <si>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</si>
  <si>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</si>
  <si>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</si>
  <si>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</si>
  <si>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</si>
  <si>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</si>
  <si>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</si>
  <si>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</si>
  <si>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</si>
  <si>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</si>
  <si>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</si>
  <si>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</si>
  <si>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</si>
  <si>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</si>
  <si>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</si>
  <si>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</si>
  <si>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</si>
  <si>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</si>
  <si>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</si>
  <si>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</si>
  <si>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</si>
  <si>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</si>
  <si>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</si>
  <si>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</si>
  <si>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</si>
  <si>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</si>
  <si>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</si>
  <si>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</si>
  <si>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</si>
  <si>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</si>
  <si>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</si>
  <si>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</si>
  <si>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</si>
  <si>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</si>
  <si>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</si>
  <si>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</si>
  <si>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</si>
  <si>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</si>
  <si>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</si>
  <si>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</si>
  <si>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</si>
  <si>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</si>
  <si>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</si>
  <si>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</si>
  <si>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</si>
  <si>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</si>
  <si>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</si>
  <si>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</si>
  <si>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</si>
  <si>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</si>
  <si>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</si>
  <si>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</si>
  <si>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</si>
  <si>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</si>
  <si>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</si>
  <si>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</si>
  <si>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</si>
  <si>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</si>
  <si>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</si>
  <si>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</si>
  <si>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</si>
  <si>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</si>
  <si>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</si>
  <si>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</si>
  <si>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</si>
  <si>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</si>
  <si>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</si>
  <si>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</si>
  <si>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</si>
  <si>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</si>
  <si>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</si>
  <si>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</si>
  <si>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</si>
  <si>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</si>
  <si>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</si>
  <si>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</si>
  <si>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</si>
  <si>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</si>
  <si>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</si>
  <si>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</si>
  <si>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</si>
  <si>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</si>
  <si>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</si>
  <si>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</si>
  <si>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</si>
  <si>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</si>
  <si>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</si>
  <si>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</si>
  <si>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</si>
  <si>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</si>
  <si>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</si>
  <si>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</si>
  <si>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</si>
  <si>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</si>
  <si>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</si>
  <si>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</si>
  <si>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</si>
  <si>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</si>
  <si>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</si>
  <si>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</si>
  <si>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</si>
  <si>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</si>
  <si>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</si>
  <si>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</si>
  <si>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</si>
  <si>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</si>
  <si>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</si>
  <si>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</si>
  <si>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</si>
  <si>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</si>
  <si>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</si>
  <si>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</si>
  <si>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</si>
  <si>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</si>
  <si>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</si>
  <si>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</si>
  <si>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</si>
  <si>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</si>
  <si>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</si>
  <si>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</si>
  <si>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</si>
  <si>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</si>
  <si>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</si>
  <si>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</si>
  <si>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</si>
  <si>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</si>
  <si>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</si>
  <si>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</si>
  <si>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</si>
  <si>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</si>
  <si>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</si>
  <si>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</si>
  <si>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</si>
  <si>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</si>
  <si>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</si>
  <si>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</si>
  <si>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</si>
  <si>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</si>
  <si>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</si>
  <si>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</si>
  <si>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</si>
  <si>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</si>
  <si>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</si>
  <si>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</si>
  <si>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</si>
  <si>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</si>
  <si>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</si>
  <si>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</si>
  <si>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</si>
  <si>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</si>
  <si>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</si>
  <si>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</si>
  <si>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</si>
  <si>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</si>
  <si>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</si>
  <si>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</si>
  <si>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</si>
  <si>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</si>
  <si>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</si>
  <si>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</si>
  <si>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</si>
  <si>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</si>
  <si>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</si>
  <si>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</si>
  <si>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</si>
  <si>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</si>
  <si>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</si>
  <si>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</si>
  <si>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</si>
  <si>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</si>
  <si>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</si>
  <si>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</si>
  <si>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</si>
  <si>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</si>
  <si>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</si>
  <si>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</si>
  <si>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</si>
  <si>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</si>
  <si>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</si>
  <si>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</si>
  <si>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</si>
  <si>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</si>
  <si>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</si>
  <si>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</si>
  <si>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</si>
  <si>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</si>
  <si>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</si>
  <si>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</si>
  <si>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</si>
  <si>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</si>
  <si>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</si>
  <si>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</si>
  <si>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</si>
  <si>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</si>
  <si>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</si>
  <si>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</si>
  <si>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</si>
  <si>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</si>
  <si>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</si>
  <si>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</si>
  <si>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</si>
  <si>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</si>
  <si>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</si>
  <si>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</si>
  <si>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</si>
  <si>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</si>
  <si>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</si>
  <si>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</si>
  <si>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</si>
  <si>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</si>
  <si>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</si>
  <si>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</si>
  <si>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</si>
  <si>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</si>
  <si>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</si>
  <si>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</si>
  <si>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</si>
  <si>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</si>
  <si>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</si>
  <si>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</si>
  <si>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</si>
  <si>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</si>
  <si>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</si>
  <si>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</si>
  <si>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</si>
  <si>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</si>
  <si>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</si>
  <si>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</si>
  <si>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</si>
  <si>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</si>
  <si>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</si>
  <si>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</si>
  <si>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</si>
  <si>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</si>
  <si>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</si>
  <si>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</si>
  <si>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</si>
  <si>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</si>
  <si>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</si>
  <si>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</si>
  <si>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</si>
  <si>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</si>
  <si>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</si>
  <si>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</si>
  <si>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</si>
  <si>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</si>
  <si>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</si>
  <si>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</si>
  <si>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</si>
  <si>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</si>
  <si>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</si>
  <si>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</si>
  <si>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</si>
  <si>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</si>
  <si>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</si>
  <si>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</si>
  <si>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</si>
  <si>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</si>
  <si>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</si>
  <si>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</si>
  <si>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</si>
  <si>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</si>
  <si>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</si>
  <si>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</si>
  <si>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</si>
  <si>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</si>
  <si>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</si>
  <si>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</si>
  <si>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</si>
  <si>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</si>
  <si>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</si>
  <si>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</si>
  <si>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</si>
  <si>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</si>
  <si>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</si>
  <si>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</si>
  <si>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</si>
  <si>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</si>
  <si>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</si>
  <si>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</si>
  <si>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</si>
  <si>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</si>
  <si>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</si>
  <si>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</si>
  <si>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</si>
  <si>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</si>
  <si>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</si>
  <si>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</si>
  <si>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</si>
  <si>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</si>
  <si>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</si>
  <si>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</si>
  <si>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</si>
  <si>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</si>
  <si>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</si>
  <si>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</si>
  <si>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</si>
  <si>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</si>
  <si>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</si>
  <si>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</si>
  <si>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</si>
  <si>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</si>
  <si>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</si>
  <si>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</si>
  <si>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</si>
  <si>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</si>
  <si>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</si>
  <si>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</si>
  <si>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</si>
  <si>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</si>
  <si>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</si>
  <si>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</si>
  <si>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</si>
  <si>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</si>
  <si>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</si>
  <si>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</si>
  <si>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</si>
  <si>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</si>
  <si>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</si>
  <si>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</si>
  <si>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</si>
  <si>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</si>
  <si>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</si>
  <si>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</si>
  <si>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</si>
  <si>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</si>
  <si>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</si>
  <si>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</si>
  <si>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</si>
  <si>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</si>
  <si>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</si>
  <si>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</si>
  <si>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</si>
  <si>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</si>
  <si>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</si>
  <si>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</si>
  <si>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</si>
  <si>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</si>
  <si>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</si>
  <si>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</si>
  <si>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</si>
  <si>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</si>
  <si>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</si>
  <si>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</si>
  <si>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</si>
  <si>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</si>
  <si>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</si>
  <si>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</si>
  <si>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</si>
  <si>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</si>
  <si>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</si>
  <si>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</si>
  <si>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</si>
  <si>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</si>
  <si>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</si>
  <si>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</si>
  <si>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</si>
  <si>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</si>
  <si>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</si>
  <si>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</si>
  <si>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</si>
  <si>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</si>
  <si>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</si>
  <si>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</si>
  <si>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</si>
  <si>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</si>
  <si>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</si>
  <si>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</si>
  <si>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</si>
  <si>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</si>
  <si>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</si>
  <si>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</si>
  <si>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</si>
  <si>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</si>
  <si>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</si>
  <si>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</si>
  <si>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</si>
  <si>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</si>
  <si>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</si>
  <si>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</si>
  <si>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</si>
  <si>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</si>
  <si>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</si>
  <si>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</si>
  <si>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</si>
  <si>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</si>
  <si>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</si>
  <si>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</si>
  <si>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</si>
  <si>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</si>
  <si>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</si>
  <si>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</si>
  <si>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</si>
  <si>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</si>
  <si>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</si>
  <si>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</si>
  <si>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</si>
  <si>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</si>
  <si>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</si>
  <si>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</si>
  <si>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</si>
  <si>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</si>
  <si>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</si>
  <si>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</si>
  <si>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</si>
  <si>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</si>
  <si>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</si>
  <si>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</si>
  <si>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</si>
  <si>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</si>
  <si>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</si>
  <si>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</si>
  <si>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</si>
  <si>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</si>
  <si>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</si>
  <si>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</si>
  <si>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</si>
  <si>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</si>
  <si>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</si>
  <si>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</si>
  <si>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</si>
  <si>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</si>
  <si>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</si>
  <si>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</si>
  <si>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</si>
  <si>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</si>
  <si>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</si>
  <si>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</si>
  <si>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</si>
  <si>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</si>
  <si>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</si>
  <si>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</si>
  <si>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</si>
  <si>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</si>
  <si>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</si>
  <si>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</si>
  <si>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</si>
  <si>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</si>
  <si>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</si>
  <si>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</si>
  <si>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</si>
  <si>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</si>
  <si>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</si>
  <si>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</si>
  <si>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</si>
  <si>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</si>
  <si>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</si>
  <si>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</si>
  <si>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</si>
  <si>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</si>
  <si>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</si>
  <si>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</si>
  <si>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</si>
  <si>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</si>
  <si>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</si>
  <si>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</si>
  <si>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</si>
  <si>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</si>
  <si>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</si>
  <si>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</si>
  <si>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</si>
  <si>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</si>
  <si>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</si>
  <si>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</si>
  <si>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</si>
  <si>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</si>
  <si>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</si>
  <si>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</si>
  <si>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</si>
  <si>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</si>
  <si>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</si>
  <si>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</si>
  <si>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</si>
  <si>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</si>
  <si>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</si>
  <si>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</si>
  <si>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</si>
  <si>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</si>
  <si>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</si>
  <si>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</si>
  <si>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</si>
  <si>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</si>
  <si>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</si>
  <si>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</si>
  <si>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</si>
  <si>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</si>
  <si>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</si>
  <si>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</si>
  <si>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</si>
  <si>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</si>
  <si>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</si>
  <si>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</si>
  <si>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</si>
  <si>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</si>
  <si>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</si>
  <si>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</si>
  <si>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</si>
  <si>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</si>
  <si>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</si>
  <si>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</si>
  <si>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</si>
  <si>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</si>
  <si>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</si>
  <si>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</si>
  <si>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</si>
  <si>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</si>
  <si>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</si>
  <si>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</si>
  <si>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</si>
  <si>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</si>
  <si>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</si>
  <si>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</si>
  <si>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</si>
  <si>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</si>
  <si>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</si>
  <si>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</si>
  <si>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</si>
  <si>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</si>
  <si>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</si>
  <si>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</si>
  <si>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</si>
  <si>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</si>
  <si>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</si>
  <si>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</si>
  <si>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</si>
  <si>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</si>
  <si>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</si>
  <si>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</si>
  <si>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</si>
  <si>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</si>
  <si>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</si>
  <si>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</si>
  <si>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</si>
  <si>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</si>
  <si>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</si>
  <si>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</si>
  <si>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</si>
  <si>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</si>
  <si>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</si>
  <si>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</si>
  <si>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</si>
  <si>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</si>
  <si>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</si>
  <si>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</si>
  <si>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</si>
  <si>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</si>
  <si>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</si>
  <si>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</si>
  <si>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</si>
  <si>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</si>
  <si>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</si>
  <si>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</si>
  <si>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</si>
  <si>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</si>
  <si>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</si>
  <si>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</si>
  <si>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</si>
  <si>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</si>
  <si>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</si>
  <si>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</si>
  <si>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</si>
  <si>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</si>
  <si>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</si>
  <si>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</si>
  <si>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</si>
  <si>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</si>
  <si>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</si>
  <si>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</si>
  <si>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</si>
  <si>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</si>
  <si>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</si>
  <si>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</si>
  <si>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</si>
  <si>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</si>
  <si>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</si>
  <si>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</si>
  <si>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</si>
  <si>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</si>
  <si>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</si>
  <si>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</si>
  <si>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</si>
  <si>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</si>
  <si>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</si>
  <si>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</si>
  <si>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</si>
  <si>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</si>
  <si>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</si>
  <si>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</si>
  <si>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</si>
  <si>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</si>
  <si>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</si>
  <si>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</si>
  <si>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</si>
  <si>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</si>
  <si>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</si>
  <si>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</si>
  <si>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</si>
  <si>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</si>
  <si>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</si>
  <si>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</si>
  <si>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</si>
  <si>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</si>
  <si>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</si>
  <si>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</si>
  <si>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</si>
  <si>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</si>
  <si>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</si>
  <si>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</si>
  <si>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</si>
  <si>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</si>
  <si>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</si>
  <si>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</si>
  <si>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</si>
  <si>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</si>
  <si>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</si>
  <si>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</si>
  <si>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</si>
  <si>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</si>
  <si>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</si>
  <si>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</si>
  <si>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</si>
  <si>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</si>
  <si>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</si>
  <si>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</si>
  <si>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</si>
  <si>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</si>
  <si>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</si>
  <si>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</si>
  <si>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</si>
  <si>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</si>
  <si>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</si>
  <si>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</si>
  <si>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</si>
  <si>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</si>
  <si>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</si>
  <si>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</si>
  <si>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</si>
  <si>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</si>
  <si>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</si>
  <si>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</si>
  <si>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</si>
  <si>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</si>
  <si>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</si>
  <si>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</si>
  <si>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</si>
  <si>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</si>
  <si>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</si>
  <si>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</si>
  <si>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</si>
  <si>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</si>
  <si>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</si>
  <si>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</si>
  <si>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</si>
  <si>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</si>
  <si>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</si>
  <si>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</si>
  <si>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</si>
  <si>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</si>
  <si>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</si>
  <si>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</si>
  <si>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</si>
  <si>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</si>
  <si>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</si>
  <si>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</si>
  <si>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</si>
  <si>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</si>
  <si>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</si>
  <si>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</si>
  <si>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</si>
  <si>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</si>
  <si>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</si>
  <si>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</si>
  <si>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</si>
  <si>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</si>
  <si>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</si>
  <si>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</si>
  <si>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</si>
  <si>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</si>
  <si>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</si>
  <si>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</si>
  <si>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</si>
  <si>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</si>
  <si>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</si>
  <si>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</si>
  <si>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</si>
  <si>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</si>
  <si>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</si>
  <si>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</si>
  <si>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</si>
  <si>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</si>
  <si>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</si>
  <si>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</si>
  <si>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</si>
  <si>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</si>
  <si>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</si>
  <si>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</si>
  <si>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</si>
  <si>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</si>
  <si>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</si>
  <si>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</si>
  <si>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</si>
  <si>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</si>
  <si>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</si>
  <si>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</si>
  <si>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</si>
  <si>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</si>
  <si>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</si>
  <si>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</si>
  <si>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</si>
  <si>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</si>
  <si>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</si>
  <si>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</si>
  <si>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</si>
  <si>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</si>
  <si>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</si>
  <si>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</si>
  <si>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</si>
  <si>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</si>
  <si>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</si>
  <si>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</si>
  <si>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</si>
  <si>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</si>
  <si>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</si>
  <si>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</si>
  <si>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</si>
  <si>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</si>
  <si>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</si>
  <si>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</si>
  <si>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</si>
  <si>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</si>
  <si>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</si>
  <si>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</si>
  <si>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</si>
  <si>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</si>
  <si>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</si>
  <si>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</si>
  <si>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</si>
  <si>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</si>
  <si>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</si>
  <si>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</si>
  <si>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</si>
  <si>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</si>
  <si>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</si>
  <si>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</si>
  <si>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</si>
  <si>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</si>
  <si>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</si>
  <si>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</si>
  <si>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</si>
  <si>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</si>
  <si>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</si>
  <si>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</si>
  <si>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</si>
  <si>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</si>
  <si>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</si>
  <si>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</si>
  <si>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</si>
  <si>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</si>
  <si>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</si>
  <si>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</si>
  <si>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</si>
  <si>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</si>
  <si>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</si>
  <si>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</si>
  <si>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</si>
  <si>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</si>
  <si>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</si>
  <si>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</si>
  <si>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</si>
  <si>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</si>
  <si>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</si>
  <si>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</si>
  <si>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</si>
  <si>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</si>
  <si>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</si>
  <si>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</si>
  <si>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</si>
  <si>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</si>
  <si>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</si>
  <si>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</si>
  <si>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</si>
  <si>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</si>
  <si>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</si>
  <si>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</si>
  <si>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</si>
  <si>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</si>
  <si>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</si>
  <si>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</si>
  <si>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</si>
  <si>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</si>
  <si>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</si>
  <si>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</si>
  <si>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</si>
  <si>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</si>
  <si>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</si>
  <si>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</si>
  <si>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</si>
  <si>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</si>
  <si>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</si>
  <si>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</si>
  <si>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</si>
  <si>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</si>
  <si>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</si>
  <si>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</si>
  <si>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</si>
  <si>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</si>
  <si>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</si>
  <si>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</si>
  <si>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</si>
  <si>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</si>
  <si>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</si>
  <si>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</si>
  <si>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</si>
  <si>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</si>
  <si>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</si>
  <si>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</si>
  <si>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</si>
  <si>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</si>
  <si>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</si>
  <si>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</si>
  <si>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</si>
  <si>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</si>
  <si>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</si>
  <si>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</si>
  <si>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</si>
  <si>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</si>
  <si>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</si>
  <si>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</si>
  <si>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</si>
  <si>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</si>
  <si>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</si>
  <si>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</si>
  <si>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</si>
  <si>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</si>
  <si>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</si>
  <si>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</si>
  <si>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</si>
  <si>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</si>
  <si>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</si>
  <si>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</si>
  <si>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</si>
  <si>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</si>
  <si>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</si>
  <si>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</si>
  <si>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</si>
  <si>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</si>
  <si>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</si>
  <si>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</si>
  <si>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</si>
  <si>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</si>
  <si>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</si>
  <si>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</si>
  <si>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</si>
  <si>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</si>
  <si>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</si>
  <si>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</si>
  <si>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</si>
  <si>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</si>
  <si>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</si>
  <si>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</si>
  <si>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</si>
  <si>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</si>
  <si>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</si>
  <si>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</si>
  <si>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</si>
  <si>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</si>
  <si>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</si>
  <si>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</si>
  <si>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</si>
  <si>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</si>
  <si>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</si>
  <si>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</si>
  <si>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</si>
  <si>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</si>
  <si>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</si>
  <si>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</si>
  <si>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</si>
  <si>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</si>
  <si>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</si>
  <si>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</si>
  <si>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</si>
  <si>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</si>
  <si>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</si>
  <si>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</si>
  <si>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</si>
  <si>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</si>
  <si>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</si>
  <si>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</si>
  <si>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</si>
  <si>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</si>
  <si>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</si>
  <si>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</si>
  <si>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</si>
  <si>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</si>
  <si>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</si>
  <si>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</si>
  <si>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</si>
  <si>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</si>
  <si>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</si>
  <si>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</si>
  <si>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</si>
  <si>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</si>
  <si>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</si>
  <si>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</si>
  <si>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</si>
  <si>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</si>
  <si>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</si>
  <si>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</si>
  <si>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</si>
  <si>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</si>
  <si>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</si>
  <si>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</si>
  <si>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</si>
  <si>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</si>
  <si>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</si>
  <si>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</si>
  <si>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</si>
  <si>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</si>
  <si>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</si>
  <si>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</si>
  <si>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</si>
  <si>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</si>
  <si>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</si>
  <si>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</si>
  <si>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</si>
  <si>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</si>
  <si>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</si>
  <si>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</si>
  <si>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</si>
  <si>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</si>
  <si>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</si>
  <si>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</si>
  <si>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</si>
  <si>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</si>
  <si>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</si>
  <si>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</si>
  <si>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</si>
  <si>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</si>
  <si>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</si>
  <si>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</si>
  <si>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</si>
  <si>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</si>
  <si>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</si>
  <si>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</si>
  <si>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</si>
  <si>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</si>
  <si>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</si>
  <si>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</si>
  <si>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</si>
  <si>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</si>
  <si>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</si>
  <si>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</si>
  <si>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</si>
  <si>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</si>
  <si>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</si>
  <si>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</si>
  <si>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</si>
  <si>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</si>
  <si>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</si>
  <si>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</si>
  <si>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</si>
  <si>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</si>
  <si>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</si>
  <si>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</si>
  <si>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</si>
  <si>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</si>
  <si>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</si>
  <si>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</si>
  <si>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</si>
  <si>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</si>
  <si>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</si>
  <si>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</si>
  <si>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</si>
  <si>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</si>
  <si>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</si>
  <si>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</si>
  <si>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</si>
  <si>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</si>
  <si>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</si>
  <si>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</si>
  <si>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</si>
  <si>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</si>
  <si>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</si>
  <si>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</si>
  <si>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</si>
  <si>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</si>
  <si>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</si>
  <si>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</si>
  <si>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</si>
  <si>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</si>
  <si>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</si>
  <si>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</si>
  <si>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</si>
  <si>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</si>
  <si>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</si>
  <si>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</si>
  <si>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</si>
  <si>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</si>
  <si>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</si>
  <si>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</si>
  <si>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</si>
  <si>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</si>
  <si>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</si>
  <si>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</si>
  <si>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</si>
  <si>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</si>
  <si>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</si>
  <si>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</si>
  <si>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</si>
  <si>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</si>
  <si>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</si>
  <si>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</si>
  <si>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</si>
  <si>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</si>
  <si>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</si>
  <si>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</si>
  <si>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</si>
  <si>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</si>
  <si>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</si>
  <si>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</si>
  <si>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</si>
  <si>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</si>
  <si>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</si>
  <si>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</si>
  <si>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</si>
  <si>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</si>
  <si>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</si>
  <si>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</si>
  <si>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</si>
  <si>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</si>
  <si>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</si>
  <si>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</si>
  <si>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</si>
  <si>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</si>
  <si>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</si>
  <si>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</si>
  <si>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</si>
  <si>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</si>
  <si>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</si>
  <si>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</si>
  <si>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</si>
  <si>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</si>
  <si>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</si>
  <si>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</si>
  <si>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</si>
  <si>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</si>
  <si>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</si>
  <si>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</si>
  <si>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</si>
  <si>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</si>
  <si>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</si>
  <si>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</si>
  <si>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</si>
  <si>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</si>
  <si>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</si>
  <si>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</si>
  <si>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</si>
  <si>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</si>
  <si>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</si>
  <si>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</si>
  <si>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</si>
  <si>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</si>
  <si>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</si>
  <si>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</si>
  <si>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</si>
  <si>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</si>
  <si>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</si>
  <si>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</si>
  <si>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</si>
  <si>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</si>
  <si>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</si>
  <si>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</si>
  <si>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</si>
  <si>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</si>
  <si>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</si>
  <si>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</si>
  <si>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</si>
  <si>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</si>
  <si>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</si>
  <si>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</si>
  <si>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</si>
  <si>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</si>
  <si>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</si>
  <si>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</si>
  <si>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</si>
  <si>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</si>
  <si>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</si>
  <si>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</si>
  <si>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</si>
  <si>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</si>
  <si>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</si>
  <si>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</si>
  <si>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</si>
  <si>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</si>
  <si>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</si>
  <si>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</si>
  <si>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</si>
  <si>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</si>
  <si>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</si>
  <si>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</si>
  <si>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</si>
  <si>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</si>
  <si>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</si>
  <si>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</si>
  <si>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</si>
  <si>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</si>
  <si>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</si>
  <si>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</si>
  <si>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</si>
  <si>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</si>
  <si>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</si>
  <si>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</si>
  <si>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</si>
  <si>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</si>
  <si>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</si>
  <si>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</si>
  <si>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</si>
  <si>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</si>
  <si>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</si>
  <si>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</si>
  <si>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</si>
  <si>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</si>
  <si>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</si>
  <si>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</si>
  <si>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</si>
  <si>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</si>
  <si>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</si>
  <si>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</si>
  <si>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</si>
  <si>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</si>
  <si>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</si>
  <si>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</si>
  <si>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</si>
  <si>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</si>
  <si>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</si>
  <si>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</si>
  <si>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</si>
  <si>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</si>
  <si>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</si>
  <si>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</si>
  <si>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</si>
  <si>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</si>
  <si>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</si>
  <si>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</si>
  <si>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</si>
  <si>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</si>
  <si>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</si>
  <si>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</si>
  <si>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</si>
  <si>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</si>
  <si>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</si>
  <si>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</si>
  <si>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</si>
  <si>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</si>
  <si>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</si>
  <si>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</si>
  <si>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</si>
  <si>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</si>
  <si>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</si>
  <si>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</si>
  <si>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</si>
  <si>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</si>
  <si>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</si>
  <si>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</si>
  <si>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</si>
  <si>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</si>
  <si>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</si>
  <si>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</si>
  <si>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</si>
  <si>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</si>
  <si>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</si>
  <si>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</si>
  <si>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</si>
  <si>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</si>
  <si>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</si>
  <si>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</si>
  <si>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</si>
  <si>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</si>
  <si>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</si>
  <si>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</si>
  <si>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</si>
  <si>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</si>
  <si>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</si>
  <si>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</si>
  <si>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</si>
  <si>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</si>
  <si>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</si>
  <si>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</si>
  <si>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</si>
  <si>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</si>
  <si>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</si>
  <si>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</si>
  <si>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</si>
  <si>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</si>
  <si>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</si>
  <si>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</si>
  <si>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</si>
  <si>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</si>
  <si>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</si>
  <si>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</si>
  <si>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</si>
  <si>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</si>
  <si>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</si>
  <si>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</si>
  <si>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</si>
  <si>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</si>
  <si>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</si>
  <si>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</si>
  <si>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</si>
  <si>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</si>
  <si>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</si>
  <si>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</si>
  <si>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</si>
  <si>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</si>
  <si>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</si>
  <si>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</si>
  <si>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</si>
  <si>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</si>
  <si>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</si>
  <si>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</si>
  <si>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</si>
  <si>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</si>
  <si>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</si>
  <si>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</si>
  <si>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</si>
  <si>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</si>
  <si>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</si>
  <si>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</si>
  <si>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</si>
  <si>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</si>
  <si>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</si>
  <si>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</si>
  <si>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</si>
  <si>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</si>
  <si>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</si>
  <si>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</si>
  <si>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</si>
  <si>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</si>
  <si>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</si>
  <si>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</si>
  <si>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</si>
  <si>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</si>
  <si>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</si>
  <si>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</si>
  <si>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</si>
  <si>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</si>
  <si>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</si>
  <si>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</si>
  <si>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</si>
  <si>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</si>
  <si>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</si>
  <si>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</si>
  <si>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</si>
  <si>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</si>
  <si>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</si>
  <si>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</si>
  <si>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</si>
  <si>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</si>
  <si>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</si>
  <si>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</si>
  <si>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</si>
  <si>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</si>
  <si>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</si>
  <si>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</si>
  <si>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</si>
  <si>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</si>
  <si>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</si>
  <si>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</si>
  <si>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</si>
  <si>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</si>
  <si>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</si>
  <si>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</si>
  <si>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</si>
  <si>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</si>
  <si>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</si>
  <si>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</si>
  <si>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</si>
  <si>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</si>
  <si>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</si>
  <si>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</si>
  <si>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</si>
  <si>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</si>
  <si>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</si>
  <si>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</si>
  <si>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</si>
  <si>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</si>
  <si>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</si>
  <si>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</si>
  <si>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</si>
  <si>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</si>
  <si>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</si>
  <si>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</si>
  <si>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</si>
  <si>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</si>
  <si>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</si>
  <si>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</si>
  <si>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</si>
  <si>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</si>
  <si>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</si>
  <si>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</si>
  <si>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</si>
  <si>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</si>
  <si>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</si>
  <si>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</si>
  <si>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</si>
  <si>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</si>
  <si>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</si>
  <si>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</si>
  <si>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</si>
  <si>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</si>
  <si>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</si>
  <si>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</si>
  <si>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</si>
  <si>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</si>
  <si>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</si>
  <si>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</si>
  <si>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</si>
  <si>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</si>
  <si>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</si>
  <si>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</si>
  <si>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</si>
  <si>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</si>
  <si>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</si>
  <si>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</si>
  <si>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</si>
  <si>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</si>
  <si>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</si>
  <si>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</si>
  <si>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</si>
  <si>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</si>
  <si>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</si>
  <si>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</si>
  <si>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</si>
  <si>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</si>
  <si>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</si>
  <si>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</si>
  <si>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</si>
  <si>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</si>
  <si>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</si>
  <si>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</si>
  <si>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</si>
  <si>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</si>
  <si>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</si>
  <si>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</si>
  <si>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</si>
  <si>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</si>
  <si>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</si>
  <si>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</si>
  <si>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</si>
  <si>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</si>
  <si>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</si>
  <si>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</si>
  <si>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</si>
  <si>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</si>
  <si>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</si>
  <si>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</si>
  <si>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</si>
  <si>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</si>
  <si>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</si>
  <si>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</si>
  <si>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</si>
  <si>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</si>
  <si>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</si>
  <si>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</si>
  <si>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</si>
  <si>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</si>
  <si>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</si>
  <si>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</si>
  <si>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</si>
  <si>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</si>
  <si>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</si>
  <si>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</si>
  <si>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</si>
  <si>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</si>
  <si>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</si>
  <si>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</si>
  <si>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</si>
  <si>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</si>
  <si>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</si>
  <si>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</si>
  <si>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</si>
  <si>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</si>
  <si>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</si>
  <si>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</si>
  <si>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</si>
  <si>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</si>
  <si>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</si>
  <si>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</si>
  <si>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</si>
  <si>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</si>
  <si>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</si>
  <si>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</si>
  <si>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</si>
  <si>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</si>
  <si>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</si>
  <si>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</si>
  <si>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</si>
  <si>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</si>
  <si>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</si>
  <si>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</si>
  <si>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</si>
  <si>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</si>
  <si>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</si>
  <si>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</si>
  <si>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</si>
  <si>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</si>
  <si>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</si>
  <si>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</si>
  <si>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</si>
  <si>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</si>
  <si>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</si>
  <si>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</si>
  <si>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</si>
  <si>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</si>
  <si>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</si>
  <si>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</si>
  <si>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</si>
  <si>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</si>
  <si>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</si>
  <si>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</si>
  <si>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</si>
  <si>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</si>
  <si>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</si>
  <si>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</si>
  <si>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</si>
  <si>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</si>
  <si>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</si>
  <si>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</si>
  <si>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</si>
  <si>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</si>
  <si>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</si>
  <si>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</si>
  <si>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</si>
  <si>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</si>
  <si>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</si>
  <si>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</si>
  <si>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</si>
  <si>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</si>
  <si>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</si>
  <si>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</si>
  <si>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</si>
  <si>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</si>
  <si>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</si>
  <si>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</si>
  <si>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</si>
  <si>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</si>
  <si>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</si>
  <si>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</si>
  <si>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</si>
  <si>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</si>
  <si>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</si>
  <si>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</si>
  <si>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</si>
  <si>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</si>
  <si>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</si>
  <si>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</si>
  <si>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</si>
  <si>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</si>
  <si>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</si>
  <si>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</si>
  <si>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</si>
  <si>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</si>
  <si>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</si>
  <si>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</si>
  <si>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</si>
  <si>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</si>
  <si>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</si>
  <si>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</si>
  <si>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</si>
  <si>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</si>
  <si>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</si>
  <si>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</si>
  <si>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</si>
  <si>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</si>
  <si>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</si>
  <si>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</si>
  <si>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</si>
  <si>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</si>
  <si>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</si>
  <si>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</si>
  <si>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</si>
  <si>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</si>
  <si>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</si>
  <si>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</si>
  <si>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</si>
  <si>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</si>
  <si>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</si>
  <si>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</si>
  <si>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</si>
  <si>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</si>
  <si>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</si>
  <si>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</si>
  <si>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</si>
  <si>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</si>
  <si>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</si>
  <si>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</si>
  <si>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</si>
  <si>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</si>
  <si>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</si>
  <si>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</si>
  <si>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</si>
  <si>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</si>
  <si>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</si>
  <si>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</si>
  <si>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</si>
  <si>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</si>
  <si>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</si>
  <si>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</si>
  <si>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</si>
  <si>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</si>
  <si>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</si>
  <si>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</si>
  <si>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</si>
  <si>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</si>
  <si>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</si>
  <si>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</si>
  <si>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</si>
  <si>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</si>
  <si>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</si>
  <si>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</si>
  <si>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</si>
  <si>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</si>
  <si>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</si>
  <si>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</si>
  <si>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</si>
  <si>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</si>
  <si>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</si>
  <si>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</si>
  <si>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</si>
  <si>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</si>
  <si>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</si>
  <si>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</si>
  <si>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</si>
  <si>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</si>
  <si>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</si>
  <si>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</si>
  <si>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</si>
  <si>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</si>
  <si>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</si>
  <si>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</si>
  <si>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</si>
  <si>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</si>
  <si>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</si>
  <si>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</si>
  <si>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</si>
  <si>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</si>
  <si>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</si>
  <si>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</si>
  <si>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</si>
  <si>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</si>
  <si>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</si>
  <si>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</si>
  <si>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</si>
  <si>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</si>
  <si>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</si>
  <si>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</si>
  <si>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</si>
  <si>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</si>
  <si>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</si>
  <si>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</si>
  <si>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</si>
  <si>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</si>
  <si>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</si>
  <si>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</si>
  <si>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</si>
  <si>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</si>
  <si>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</si>
  <si>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</si>
  <si>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</si>
  <si>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</si>
  <si>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</si>
  <si>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</si>
  <si>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</si>
  <si>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</si>
  <si>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</si>
  <si>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</si>
  <si>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</si>
  <si>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</si>
  <si>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</si>
  <si>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</si>
  <si>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</si>
  <si>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</si>
  <si>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</si>
  <si>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</si>
  <si>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</si>
  <si>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</si>
  <si>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</si>
  <si>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</si>
  <si>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</si>
  <si>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</si>
  <si>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</si>
  <si>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</si>
  <si>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</si>
  <si>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</si>
  <si>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</si>
  <si>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</si>
  <si>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</si>
  <si>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</si>
  <si>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</si>
  <si>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</si>
  <si>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</si>
  <si>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</si>
  <si>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</si>
  <si>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</si>
  <si>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</si>
  <si>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</si>
  <si>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</si>
  <si>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</si>
  <si>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</si>
  <si>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</si>
  <si>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</si>
  <si>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</si>
  <si>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</si>
  <si>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</si>
  <si>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</si>
  <si>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</si>
  <si>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</si>
  <si>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</si>
  <si>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</si>
  <si>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</si>
  <si>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</si>
  <si>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</si>
  <si>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</si>
  <si>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</si>
  <si>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</si>
  <si>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</si>
  <si>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</si>
  <si>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</si>
  <si>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</si>
  <si>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</si>
  <si>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</si>
  <si>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</si>
  <si>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</si>
  <si>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</si>
  <si>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</si>
  <si>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</si>
  <si>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</si>
  <si>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</si>
  <si>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</si>
  <si>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</si>
  <si>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</si>
  <si>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</si>
  <si>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</si>
  <si>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</si>
  <si>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</si>
  <si>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</si>
  <si>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</si>
  <si>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</si>
  <si>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</si>
  <si>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</si>
  <si>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</si>
  <si>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</si>
  <si>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</si>
  <si>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</si>
  <si>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</si>
  <si>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</si>
  <si>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</si>
  <si>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</si>
  <si>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</si>
  <si>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</si>
  <si>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</si>
  <si>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</si>
  <si>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</si>
  <si>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</si>
  <si>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</si>
  <si>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</si>
  <si>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</si>
  <si>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</si>
  <si>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</si>
  <si>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</si>
  <si>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</si>
  <si>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</si>
  <si>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</si>
  <si>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</si>
  <si>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</si>
  <si>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</si>
  <si>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</si>
  <si>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</si>
  <si>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</si>
  <si>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</si>
  <si>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</si>
  <si>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</si>
  <si>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</si>
  <si>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</si>
  <si>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</si>
  <si>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</si>
  <si>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</si>
  <si>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</si>
  <si>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</si>
  <si>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</si>
  <si>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</si>
  <si>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</si>
  <si>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</si>
  <si>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</si>
  <si>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</si>
  <si>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</si>
  <si>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</si>
  <si>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</si>
  <si>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</si>
  <si>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</si>
  <si>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</si>
  <si>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</si>
  <si>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</si>
  <si>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</si>
  <si>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</si>
  <si>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</si>
  <si>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</si>
  <si>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</si>
  <si>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</si>
  <si>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</si>
  <si>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</si>
  <si>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</si>
  <si>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</si>
  <si>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</si>
  <si>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</si>
  <si>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</si>
  <si>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</si>
  <si>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</si>
  <si>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</si>
  <si>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</si>
  <si>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</si>
  <si>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</si>
  <si>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</si>
  <si>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</si>
  <si>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</si>
  <si>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</si>
  <si>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</si>
  <si>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</si>
  <si>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</si>
  <si>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</si>
  <si>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</si>
  <si>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</si>
  <si>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</si>
  <si>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</si>
  <si>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</si>
  <si>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</si>
  <si>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</si>
  <si>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</si>
  <si>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</si>
  <si>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</si>
  <si>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</si>
  <si>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</si>
  <si>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</si>
  <si>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</si>
  <si>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</si>
  <si>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</si>
  <si>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</si>
  <si>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</si>
  <si>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</si>
  <si>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</si>
  <si>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</si>
  <si>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</si>
  <si>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</si>
  <si>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</si>
  <si>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</si>
  <si>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</si>
  <si>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</si>
  <si>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</si>
  <si>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</si>
  <si>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</si>
  <si>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</si>
  <si>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</si>
  <si>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</si>
  <si>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</si>
  <si>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</si>
  <si>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</si>
  <si>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</si>
  <si>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</si>
  <si>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</si>
  <si>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</si>
  <si>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</si>
  <si>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</si>
  <si>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</si>
  <si>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</si>
  <si>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</si>
  <si>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</si>
  <si>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</si>
  <si>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</si>
  <si>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</si>
  <si>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</si>
  <si>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</si>
  <si>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</si>
  <si>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</si>
  <si>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</si>
  <si>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</si>
  <si>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</si>
  <si>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</si>
  <si>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</si>
  <si>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</si>
  <si>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</si>
  <si>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</si>
  <si>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</si>
  <si>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</si>
  <si>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</si>
  <si>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</si>
  <si>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</si>
  <si>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</si>
  <si>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</si>
  <si>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</si>
  <si>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</si>
  <si>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</si>
  <si>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</si>
  <si>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</si>
  <si>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</si>
  <si>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</si>
  <si>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</si>
  <si>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</si>
  <si>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</si>
  <si>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</si>
  <si>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</si>
  <si>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</si>
  <si>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</si>
  <si>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</si>
  <si>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</si>
  <si>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</si>
  <si>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</si>
  <si>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</si>
  <si>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</si>
  <si>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</si>
  <si>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</si>
  <si>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</si>
  <si>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</si>
  <si>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</si>
  <si>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</si>
  <si>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</si>
  <si>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</si>
  <si>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</si>
  <si>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</si>
  <si>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</si>
  <si>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</si>
  <si>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</si>
  <si>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</si>
  <si>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</si>
  <si>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</si>
  <si>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</si>
  <si>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</si>
  <si>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</si>
  <si>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</si>
  <si>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</si>
  <si>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</si>
  <si>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</si>
  <si>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</si>
  <si>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</si>
  <si>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</si>
  <si>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</si>
  <si>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</si>
  <si>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</si>
  <si>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</si>
  <si>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</si>
  <si>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</si>
  <si>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</si>
  <si>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</si>
  <si>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</si>
  <si>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</si>
  <si>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</si>
  <si>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</si>
  <si>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</si>
  <si>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</si>
  <si>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</si>
  <si>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</si>
  <si>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</si>
  <si>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</si>
  <si>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</si>
  <si>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</si>
  <si>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</si>
  <si>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</si>
  <si>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</si>
  <si>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</si>
  <si>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</si>
  <si>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</si>
  <si>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</si>
  <si>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</si>
  <si>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</si>
  <si>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</si>
  <si>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</si>
  <si>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</si>
  <si>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</si>
  <si>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</si>
  <si>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</si>
  <si>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</si>
  <si>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</si>
  <si>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</si>
  <si>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</si>
  <si>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</si>
  <si>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</si>
  <si>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</si>
  <si>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</si>
  <si>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</si>
  <si>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</si>
  <si>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</si>
  <si>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</si>
  <si>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</si>
  <si>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</si>
  <si>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</si>
  <si>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</si>
  <si>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</si>
  <si>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</si>
  <si>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</si>
  <si>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</si>
  <si>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</si>
  <si>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</si>
  <si>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</si>
  <si>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</si>
  <si>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</si>
  <si>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</si>
  <si>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</si>
  <si>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</si>
  <si>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</si>
  <si>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</si>
  <si>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</si>
  <si>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</si>
  <si>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</si>
  <si>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</si>
  <si>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</si>
  <si>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</si>
  <si>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</si>
  <si>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</si>
  <si>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</si>
  <si>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</si>
  <si>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</si>
  <si>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</si>
  <si>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</si>
  <si>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</si>
  <si>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</si>
  <si>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</si>
  <si>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</si>
  <si>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</si>
  <si>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</si>
  <si>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</si>
  <si>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</si>
  <si>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</si>
  <si>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</si>
  <si>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</si>
  <si>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</si>
  <si>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</si>
  <si>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</si>
  <si>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</si>
  <si>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</si>
  <si>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</si>
  <si>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</si>
  <si>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</si>
  <si>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</si>
  <si>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</si>
  <si>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</si>
  <si>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</si>
  <si>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</si>
  <si>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</si>
  <si>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</si>
  <si>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</si>
  <si>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</si>
  <si>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</si>
  <si>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</si>
  <si>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</si>
  <si>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</si>
  <si>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</si>
  <si>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</si>
  <si>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</si>
  <si>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</si>
  <si>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</si>
  <si>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</si>
  <si>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</si>
  <si>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</si>
  <si>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</si>
  <si>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</si>
  <si>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</si>
  <si>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</si>
  <si>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</si>
  <si>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</si>
  <si>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</si>
  <si>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</si>
  <si>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</si>
  <si>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</si>
  <si>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</si>
  <si>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</si>
  <si>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</si>
  <si>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</si>
  <si>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</si>
  <si>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</si>
  <si>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</si>
  <si>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</si>
  <si>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</si>
  <si>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</si>
  <si>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</si>
  <si>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</si>
  <si>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</si>
  <si>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</si>
  <si>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</si>
  <si>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</si>
  <si>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</si>
  <si>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</si>
  <si>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</si>
  <si>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</si>
  <si>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</si>
  <si>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</si>
  <si>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</si>
  <si>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</si>
  <si>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</si>
  <si>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</si>
  <si>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</si>
  <si>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</si>
  <si>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</si>
  <si>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</si>
  <si>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</si>
  <si>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</si>
  <si>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</si>
  <si>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</si>
  <si>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</si>
  <si>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</si>
  <si>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</si>
  <si>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</si>
  <si>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</si>
  <si>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</si>
  <si>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</si>
  <si>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</si>
  <si>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</si>
  <si>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</si>
  <si>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</si>
  <si>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</si>
  <si>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</si>
  <si>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</si>
  <si>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</si>
  <si>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</si>
  <si>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</si>
  <si>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</si>
  <si>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</si>
  <si>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</si>
  <si>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</si>
  <si>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</si>
  <si>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</si>
  <si>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</si>
  <si>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</si>
  <si>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</si>
  <si>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</si>
  <si>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</si>
  <si>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</si>
  <si>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</si>
  <si>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</si>
  <si>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</si>
  <si>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</si>
  <si>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</si>
  <si>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</si>
  <si>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</si>
  <si>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</si>
  <si>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</si>
  <si>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</si>
  <si>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</si>
  <si>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</si>
  <si>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</si>
  <si>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</si>
  <si>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</si>
  <si>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</si>
  <si>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</si>
  <si>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</si>
  <si>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</si>
  <si>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</si>
  <si>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</si>
  <si>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</si>
  <si>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</si>
  <si>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</si>
  <si>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</si>
  <si>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</si>
  <si>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</si>
  <si>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</si>
  <si>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</si>
  <si>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</si>
  <si>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</si>
  <si>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</si>
  <si>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</si>
  <si>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</si>
  <si>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</si>
  <si>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</si>
  <si>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</si>
  <si>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</si>
  <si>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</si>
  <si>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</si>
  <si>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</si>
  <si>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</si>
  <si>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</si>
  <si>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</si>
  <si>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</si>
  <si>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</si>
  <si>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</si>
  <si>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</si>
  <si>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</si>
  <si>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</si>
  <si>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</si>
  <si>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</si>
  <si>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</si>
  <si>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</si>
  <si>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</si>
  <si>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</si>
  <si>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</si>
  <si>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</si>
  <si>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</si>
  <si>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</si>
  <si>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</si>
  <si>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</si>
  <si>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</si>
  <si>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</si>
  <si>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</si>
  <si>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</si>
  <si>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</si>
  <si>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</si>
  <si>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</si>
  <si>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</si>
  <si>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</si>
  <si>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</si>
  <si>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</si>
  <si>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</si>
  <si>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</si>
  <si>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</si>
  <si>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</si>
  <si>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</si>
  <si>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</si>
  <si>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</si>
  <si>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</si>
  <si>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</si>
  <si>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</si>
  <si>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</si>
  <si>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</si>
  <si>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</si>
  <si>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</si>
  <si>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</si>
  <si>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</si>
  <si>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</si>
  <si>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</si>
  <si>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</si>
  <si>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</si>
  <si>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</si>
  <si>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</si>
  <si>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</si>
  <si>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</si>
  <si>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</si>
  <si>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</si>
  <si>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</si>
  <si>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</si>
  <si>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</si>
  <si>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</si>
  <si>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</si>
  <si>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</si>
  <si>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</si>
  <si>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</si>
  <si>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</si>
  <si>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</si>
  <si>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</si>
  <si>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</si>
  <si>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</si>
  <si>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</si>
  <si>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</si>
  <si>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</si>
  <si>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</si>
  <si>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</si>
  <si>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</si>
  <si>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</si>
  <si>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</si>
  <si>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</si>
  <si>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</si>
  <si>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</si>
  <si>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</si>
  <si>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</si>
  <si>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</si>
  <si>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</si>
  <si>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</si>
  <si>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</si>
  <si>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</si>
  <si>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</si>
  <si>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</si>
  <si>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</si>
  <si>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</si>
  <si>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</si>
  <si>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</si>
  <si>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</si>
  <si>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</si>
  <si>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</si>
  <si>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</si>
  <si>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</si>
  <si>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</si>
  <si>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</si>
  <si>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</si>
  <si>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</si>
  <si>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</si>
  <si>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</si>
  <si>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</si>
  <si>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</si>
  <si>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</si>
  <si>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</si>
  <si>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</si>
  <si>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</si>
  <si>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</si>
  <si>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</si>
  <si>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</si>
  <si>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</si>
  <si>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</si>
  <si>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</si>
  <si>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</si>
  <si>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</si>
  <si>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</si>
  <si>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</si>
  <si>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</si>
  <si>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</si>
  <si>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</si>
  <si>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</si>
  <si>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</si>
  <si>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</si>
  <si>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</si>
  <si>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</si>
  <si>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</si>
  <si>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</si>
  <si>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</si>
  <si>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</si>
  <si>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</si>
  <si>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</si>
  <si>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</si>
  <si>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</si>
  <si>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</si>
  <si>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</si>
  <si>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</si>
  <si>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</si>
  <si>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</si>
  <si>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</si>
  <si>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</si>
  <si>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</si>
  <si>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</si>
  <si>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</si>
  <si>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</si>
  <si>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</si>
  <si>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</si>
  <si>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</si>
  <si>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</si>
  <si>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</si>
  <si>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</si>
  <si>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</si>
  <si>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</si>
  <si>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</si>
  <si>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</si>
  <si>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</si>
  <si>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</si>
  <si>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</si>
  <si>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</si>
  <si>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</si>
  <si>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</si>
  <si>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</si>
  <si>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</si>
  <si>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</si>
  <si>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</si>
  <si>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</si>
  <si>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</si>
  <si>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</si>
  <si>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</si>
  <si>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</si>
  <si>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</si>
  <si>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</si>
  <si>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</si>
  <si>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</si>
  <si>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</si>
  <si>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</si>
  <si>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</si>
  <si>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</si>
  <si>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</si>
  <si>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</si>
  <si>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</si>
  <si>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</si>
  <si>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</si>
  <si>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</si>
  <si>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</si>
  <si>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</si>
  <si>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</si>
  <si>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</si>
  <si>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</si>
  <si>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</si>
  <si>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</si>
  <si>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</si>
  <si>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</si>
  <si>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</si>
  <si>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</si>
  <si>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</si>
  <si>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</si>
  <si>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</si>
  <si>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</si>
  <si>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</si>
  <si>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</si>
  <si>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</si>
  <si>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</si>
  <si>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</si>
  <si>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</si>
  <si>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</si>
  <si>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</si>
  <si>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</si>
  <si>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</si>
  <si>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</si>
  <si>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</si>
  <si>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</si>
  <si>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</si>
  <si>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</si>
  <si>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</si>
  <si>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</si>
  <si>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</si>
  <si>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</si>
  <si>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</si>
  <si>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</si>
  <si>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</si>
  <si>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</si>
  <si>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</si>
  <si>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</si>
  <si>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</si>
  <si>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</si>
  <si>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</si>
  <si>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</si>
  <si>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</si>
  <si>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</si>
  <si>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</si>
  <si>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</si>
  <si>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</si>
  <si>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</si>
  <si>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</si>
  <si>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</si>
  <si>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</si>
  <si>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</si>
  <si>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</si>
  <si>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</si>
  <si>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</si>
  <si>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</si>
  <si>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</si>
  <si>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</si>
  <si>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</si>
  <si>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</si>
  <si>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</si>
  <si>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</si>
  <si>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</si>
  <si>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</si>
  <si>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</si>
  <si>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</si>
  <si>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</si>
  <si>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</si>
  <si>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</si>
  <si>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</si>
  <si>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</si>
  <si>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</si>
  <si>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</si>
  <si>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</si>
  <si>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</si>
  <si>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</si>
  <si>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</si>
  <si>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</si>
  <si>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</si>
  <si>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</si>
  <si>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</si>
  <si>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</si>
  <si>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</si>
  <si>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</si>
  <si>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</si>
  <si>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</si>
  <si>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</si>
  <si>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</si>
  <si>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</si>
  <si>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</si>
  <si>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</si>
  <si>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</si>
  <si>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</si>
  <si>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</si>
  <si>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</si>
  <si>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</si>
  <si>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</si>
  <si>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</si>
  <si>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</si>
  <si>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</si>
  <si>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</si>
  <si>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</si>
  <si>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</si>
  <si>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</si>
  <si>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</si>
  <si>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</si>
  <si>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</si>
  <si>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</si>
  <si>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</si>
  <si>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</si>
  <si>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</si>
  <si>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</si>
  <si>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</si>
  <si>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</si>
  <si>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</si>
  <si>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</si>
  <si>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</si>
  <si>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</si>
  <si>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</si>
  <si>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</si>
  <si>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</si>
  <si>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</si>
  <si>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</si>
  <si>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</si>
  <si>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</si>
  <si>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</si>
  <si>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</si>
  <si>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</si>
  <si>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</si>
  <si>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</si>
  <si>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</si>
  <si>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</si>
  <si>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</si>
  <si>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</si>
  <si>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</si>
  <si>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</si>
  <si>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</si>
  <si>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</si>
  <si>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</si>
  <si>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</si>
  <si>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</si>
  <si>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</si>
  <si>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</si>
  <si>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</si>
  <si>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</si>
  <si>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</si>
  <si>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</si>
  <si>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</si>
  <si>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</si>
  <si>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</si>
  <si>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</si>
  <si>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</si>
  <si>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</si>
  <si>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</si>
  <si>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</si>
  <si>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</si>
  <si>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</si>
  <si>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</si>
  <si>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</si>
  <si>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</si>
  <si>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</si>
  <si>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</si>
  <si>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</si>
  <si>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</si>
  <si>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</si>
  <si>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</si>
  <si>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</si>
  <si>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</si>
  <si>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</si>
  <si>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</si>
  <si>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</si>
  <si>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</si>
  <si>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</si>
  <si>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</si>
  <si>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</si>
  <si>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</si>
  <si>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</si>
  <si>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</si>
  <si>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</si>
  <si>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</si>
  <si>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</si>
  <si>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</si>
  <si>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</si>
  <si>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</si>
  <si>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</si>
  <si>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</si>
  <si>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</si>
  <si>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</si>
  <si>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</si>
  <si>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</si>
  <si>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</si>
  <si>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</si>
  <si>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</si>
  <si>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</si>
  <si>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</si>
  <si>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</si>
  <si>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</si>
  <si>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</si>
  <si>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</si>
  <si>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</si>
  <si>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</si>
  <si>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</si>
  <si>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</si>
  <si>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</si>
  <si>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</si>
  <si>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</si>
  <si>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</si>
  <si>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</si>
  <si>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</si>
  <si>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</si>
  <si>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</si>
  <si>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</si>
  <si>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</si>
  <si>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</si>
  <si>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</si>
  <si>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</si>
  <si>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</si>
  <si>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</si>
  <si>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</si>
  <si>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</si>
  <si>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</si>
  <si>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</si>
  <si>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</si>
  <si>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</si>
  <si>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</si>
  <si>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</si>
  <si>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</si>
  <si>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</si>
  <si>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</si>
  <si>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</si>
  <si>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</si>
  <si>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</si>
  <si>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</si>
  <si>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</si>
  <si>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</si>
  <si>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</si>
  <si>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</si>
  <si>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</si>
  <si>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</si>
  <si>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</si>
  <si>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</si>
  <si>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</si>
  <si>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</si>
  <si>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</si>
  <si>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</si>
  <si>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</si>
  <si>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</si>
  <si>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</si>
  <si>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</si>
  <si>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</si>
  <si>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</si>
  <si>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</si>
  <si>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</si>
  <si>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</si>
  <si>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</si>
  <si>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</si>
  <si>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</si>
  <si>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</si>
  <si>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</si>
  <si>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</si>
  <si>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</si>
  <si>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</si>
  <si>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</si>
  <si>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</si>
  <si>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</si>
  <si>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</si>
  <si>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</si>
  <si>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</si>
  <si>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</si>
  <si>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</si>
  <si>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</si>
  <si>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</si>
  <si>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</si>
  <si>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</si>
  <si>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</si>
  <si>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</si>
  <si>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</si>
  <si>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</si>
  <si>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</si>
  <si>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</si>
  <si>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</si>
  <si>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</si>
  <si>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</si>
  <si>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</si>
  <si>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</si>
  <si>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</si>
  <si>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</si>
  <si>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</si>
  <si>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</si>
  <si>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</si>
  <si>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</si>
  <si>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</si>
  <si>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</si>
  <si>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</si>
  <si>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</si>
  <si>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</si>
  <si>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</si>
  <si>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</si>
  <si>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</si>
  <si>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</si>
  <si>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</si>
  <si>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</si>
  <si>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</si>
  <si>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</si>
  <si>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</si>
  <si>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</si>
  <si>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</si>
  <si>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</si>
  <si>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</si>
  <si>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</si>
  <si>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</si>
  <si>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</si>
  <si>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</si>
  <si>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</si>
  <si>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</si>
  <si>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</si>
  <si>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</si>
  <si>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</si>
  <si>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</si>
  <si>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</si>
  <si>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</si>
  <si>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</si>
  <si>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</si>
  <si>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</si>
  <si>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</si>
  <si>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</si>
  <si>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</si>
  <si>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</si>
  <si>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</si>
  <si>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</si>
  <si>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</si>
  <si>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</si>
  <si>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</si>
  <si>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</si>
  <si>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</si>
  <si>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</si>
  <si>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</si>
  <si>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</si>
  <si>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</si>
  <si>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</si>
  <si>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</si>
  <si>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</si>
  <si>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</si>
  <si>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</si>
  <si>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</si>
  <si>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</si>
  <si>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</si>
  <si>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</si>
  <si>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</si>
  <si>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</si>
  <si>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</si>
  <si>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</si>
  <si>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</si>
  <si>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</si>
  <si>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</si>
  <si>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</si>
  <si>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</si>
  <si>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</si>
  <si>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</si>
  <si>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</si>
  <si>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</si>
  <si>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</si>
  <si>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</si>
  <si>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</si>
  <si>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</si>
  <si>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</si>
  <si>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</si>
  <si>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</si>
  <si>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</si>
  <si>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</si>
  <si>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</si>
  <si>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</si>
  <si>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</si>
  <si>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</si>
  <si>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</si>
  <si>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</si>
  <si>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</si>
  <si>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</si>
  <si>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</si>
  <si>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</si>
  <si>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</si>
  <si>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</si>
  <si>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</si>
  <si>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</si>
  <si>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</si>
  <si>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</si>
  <si>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</si>
  <si>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</si>
  <si>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</si>
  <si>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</si>
  <si>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</si>
  <si>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</si>
  <si>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</si>
  <si>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</si>
  <si>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</si>
  <si>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</si>
  <si>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</si>
  <si>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</si>
  <si>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</si>
  <si>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</si>
  <si>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</si>
  <si>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</si>
  <si>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</si>
  <si>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</si>
  <si>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</si>
  <si>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</si>
  <si>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</si>
  <si>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</si>
  <si>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</si>
  <si>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</si>
  <si>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</si>
  <si>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</si>
  <si>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</si>
  <si>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</si>
  <si>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</si>
  <si>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</si>
  <si>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</si>
  <si>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</si>
  <si>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</si>
  <si>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</si>
  <si>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</si>
  <si>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</si>
  <si>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</si>
  <si>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</si>
  <si>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</si>
  <si>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</si>
  <si>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</si>
  <si>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</si>
  <si>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</si>
  <si>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</si>
  <si>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</si>
  <si>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</si>
  <si>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</si>
  <si>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</si>
  <si>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</si>
  <si>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</si>
  <si>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</si>
  <si>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</si>
  <si>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</si>
  <si>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</si>
  <si>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</si>
  <si>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</si>
  <si>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</si>
  <si>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</si>
  <si>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</si>
  <si>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</si>
  <si>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</si>
  <si>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</si>
  <si>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</si>
  <si>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</si>
  <si>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</si>
  <si>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</si>
  <si>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</si>
  <si>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</si>
  <si>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</si>
  <si>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</si>
  <si>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</si>
  <si>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</si>
  <si>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</si>
  <si>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</si>
  <si>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</si>
  <si>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</si>
  <si>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</si>
  <si>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</si>
  <si>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</si>
  <si>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</si>
  <si>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</si>
  <si>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</si>
  <si>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</si>
  <si>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</si>
  <si>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</si>
  <si>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</si>
  <si>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</si>
  <si>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</si>
  <si>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</si>
  <si>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</si>
  <si>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</si>
  <si>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</si>
  <si>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</si>
  <si>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</si>
  <si>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</si>
  <si>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</si>
  <si>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</si>
  <si>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</si>
  <si>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</si>
  <si>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</si>
  <si>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</si>
  <si>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</si>
  <si>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</si>
  <si>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</si>
  <si>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</si>
  <si>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</si>
  <si>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</si>
  <si>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</si>
  <si>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</si>
  <si>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</si>
  <si>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</si>
  <si>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</si>
  <si>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</si>
  <si>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</si>
  <si>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</si>
  <si>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</si>
  <si>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</si>
  <si>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</si>
  <si>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</si>
  <si>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</si>
  <si>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</si>
  <si>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</si>
  <si>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</si>
  <si>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</si>
  <si>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</si>
  <si>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</si>
  <si>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</si>
  <si>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</si>
  <si>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</si>
  <si>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</si>
  <si>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</si>
  <si>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</si>
  <si>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</si>
  <si>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</si>
  <si>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</si>
  <si>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</si>
  <si>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</si>
  <si>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</si>
  <si>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</si>
  <si>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</si>
  <si>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</si>
  <si>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</si>
  <si>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</si>
  <si>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</si>
  <si>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</si>
  <si>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</si>
  <si>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</si>
  <si>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</si>
  <si>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</si>
  <si>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</si>
  <si>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</si>
  <si>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</si>
  <si>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</si>
  <si>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</si>
  <si>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</si>
  <si>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</si>
  <si>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</si>
  <si>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</si>
  <si>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</si>
  <si>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</si>
  <si>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</si>
  <si>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</si>
  <si>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</si>
  <si>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</si>
  <si>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</si>
  <si>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</si>
  <si>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</si>
  <si>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</si>
  <si>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</si>
  <si>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</si>
  <si>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</si>
  <si>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</si>
  <si>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</si>
  <si>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</si>
  <si>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</si>
  <si>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</si>
  <si>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</si>
  <si>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</si>
  <si>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</si>
  <si>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</si>
  <si>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</si>
  <si>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</si>
  <si>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</si>
  <si>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</si>
  <si>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</si>
  <si>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</si>
  <si>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</si>
  <si>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</si>
  <si>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</si>
  <si>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</si>
  <si>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</si>
  <si>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</si>
  <si>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</si>
  <si>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</si>
  <si>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</si>
  <si>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</si>
  <si>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</si>
  <si>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</si>
  <si>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</si>
  <si>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</si>
  <si>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</si>
  <si>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</si>
  <si>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</si>
  <si>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</si>
  <si>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</si>
  <si>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</si>
  <si>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</si>
  <si>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</si>
  <si>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</si>
  <si>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</si>
  <si>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</si>
  <si>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</si>
  <si>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</si>
  <si>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</si>
  <si>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</si>
  <si>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</si>
  <si>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</si>
  <si>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</si>
  <si>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</si>
  <si>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</si>
  <si>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</si>
  <si>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</si>
  <si>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</si>
  <si>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</si>
  <si>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</si>
  <si>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</si>
  <si>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</si>
  <si>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</si>
  <si>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</si>
  <si>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</si>
  <si>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</si>
  <si>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</si>
  <si>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</si>
  <si>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</si>
  <si>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</si>
  <si>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</si>
  <si>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</si>
  <si>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</si>
  <si>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</si>
  <si>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</si>
  <si>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</si>
  <si>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</si>
  <si>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</si>
  <si>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</si>
  <si>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</si>
  <si>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</si>
  <si>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</si>
  <si>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</si>
  <si>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</si>
  <si>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</si>
  <si>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</si>
  <si>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</si>
  <si>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</si>
  <si>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</si>
  <si>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</si>
  <si>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</si>
  <si>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</si>
  <si>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</si>
  <si>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</si>
  <si>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</si>
  <si>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</si>
  <si>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</si>
  <si>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</si>
  <si>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</si>
  <si>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</si>
  <si>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</si>
  <si>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</si>
  <si>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</si>
  <si>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</si>
  <si>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</si>
  <si>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</si>
  <si>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</si>
  <si>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</si>
  <si>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</si>
  <si>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</si>
  <si>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</si>
  <si>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</si>
  <si>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</si>
  <si>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</si>
  <si>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</si>
  <si>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</si>
  <si>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</si>
  <si>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</si>
  <si>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</si>
  <si>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</si>
  <si>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</si>
  <si>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</si>
  <si>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</si>
  <si>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</si>
  <si>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</si>
  <si>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</si>
  <si>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</si>
  <si>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</si>
  <si>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</si>
  <si>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</si>
  <si>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</si>
  <si>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</si>
  <si>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</si>
  <si>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</si>
  <si>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</si>
  <si>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</si>
  <si>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</si>
  <si>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</si>
  <si>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</si>
  <si>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</si>
  <si>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</si>
  <si>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</si>
  <si>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</si>
  <si>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</si>
  <si>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</si>
  <si>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</si>
  <si>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</si>
  <si>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</si>
  <si>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</si>
  <si>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</si>
  <si>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</si>
  <si>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</si>
  <si>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</si>
  <si>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</si>
  <si>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</si>
  <si>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</si>
  <si>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</si>
  <si>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</si>
  <si>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</si>
  <si>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</si>
  <si>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</si>
  <si>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</si>
  <si>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</si>
  <si>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</si>
  <si>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</si>
  <si>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</si>
  <si>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</si>
  <si>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</si>
  <si>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</si>
  <si>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</si>
  <si>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</si>
  <si>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</si>
  <si>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</si>
  <si>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</si>
  <si>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</si>
  <si>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</si>
  <si>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</si>
  <si>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</si>
  <si>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</si>
  <si>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</si>
  <si>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</si>
  <si>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</si>
  <si>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</si>
  <si>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</si>
  <si>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</si>
  <si>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</si>
  <si>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</si>
  <si>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</si>
  <si>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</si>
  <si>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</si>
  <si>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</si>
  <si>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</si>
  <si>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</si>
  <si>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</si>
  <si>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</si>
  <si>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</si>
  <si>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</si>
  <si>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</si>
  <si>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</si>
  <si>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</si>
  <si>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</si>
  <si>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</si>
  <si>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</si>
  <si>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</si>
  <si>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</si>
  <si>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</si>
  <si>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</si>
  <si>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</si>
  <si>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</si>
  <si>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</si>
  <si>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</si>
  <si>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</si>
  <si>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</si>
  <si>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</si>
  <si>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</si>
  <si>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</si>
  <si>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</si>
  <si>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</si>
  <si>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</si>
  <si>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</si>
  <si>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</si>
  <si>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</si>
  <si>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</si>
  <si>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</si>
  <si>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</si>
  <si>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</si>
  <si>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</si>
  <si>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</si>
  <si>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</si>
  <si>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</si>
  <si>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</si>
  <si>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</si>
  <si>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</si>
  <si>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</si>
  <si>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</si>
  <si>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</si>
  <si>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</si>
  <si>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</si>
  <si>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</si>
  <si>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</si>
  <si>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</si>
  <si>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</si>
  <si>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</si>
  <si>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</si>
  <si>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</si>
  <si>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</si>
  <si>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</si>
  <si>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</si>
  <si>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</si>
  <si>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</si>
  <si>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</si>
  <si>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</si>
  <si>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</si>
  <si>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</si>
  <si>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</si>
  <si>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</si>
  <si>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</si>
  <si>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</si>
  <si>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</si>
  <si>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</si>
  <si>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</si>
  <si>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</si>
  <si>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</si>
  <si>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</si>
  <si>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</si>
  <si>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</si>
  <si>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</si>
  <si>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</si>
  <si>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</si>
  <si>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</si>
  <si>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</si>
  <si>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</si>
  <si>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</si>
  <si>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</si>
  <si>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</si>
  <si>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</si>
  <si>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</si>
  <si>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</si>
  <si>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</si>
  <si>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</si>
  <si>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</si>
  <si>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</si>
  <si>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</si>
  <si>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</si>
  <si>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</si>
  <si>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</si>
  <si>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</si>
  <si>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</si>
  <si>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</si>
  <si>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</si>
  <si>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</si>
  <si>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</si>
  <si>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</si>
  <si>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</si>
  <si>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</si>
  <si>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</si>
  <si>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</si>
  <si>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</si>
  <si>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</si>
  <si>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</si>
  <si>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</si>
  <si>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</si>
  <si>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</si>
  <si>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</si>
  <si>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</si>
  <si>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</si>
  <si>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</si>
  <si>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</si>
  <si>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</si>
  <si>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</si>
  <si>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</si>
  <si>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</si>
  <si>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</si>
  <si>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</si>
  <si>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</si>
  <si>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</si>
  <si>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</si>
  <si>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</si>
  <si>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</si>
  <si>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</si>
  <si>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</si>
  <si>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</si>
  <si>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</si>
  <si>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</si>
  <si>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</si>
  <si>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</si>
  <si>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</si>
  <si>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</si>
  <si>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</si>
  <si>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</si>
  <si>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</si>
  <si>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</si>
  <si>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</si>
  <si>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</si>
  <si>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</si>
  <si>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</si>
  <si>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</si>
  <si>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</si>
  <si>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</si>
  <si>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</si>
  <si>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</si>
  <si>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</si>
  <si>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</si>
  <si>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</si>
  <si>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</si>
  <si>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</si>
  <si>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</si>
  <si>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</si>
  <si>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</si>
  <si>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</si>
  <si>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</si>
  <si>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</si>
  <si>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</si>
  <si>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</si>
  <si>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</si>
  <si>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</si>
  <si>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</si>
  <si>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</si>
  <si>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</si>
  <si>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</si>
  <si>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</si>
  <si>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</si>
  <si>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</si>
  <si>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</si>
  <si>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</si>
  <si>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</si>
  <si>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</si>
  <si>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</si>
  <si>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</si>
  <si>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</si>
  <si>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</si>
  <si>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</si>
  <si>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</si>
  <si>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</si>
  <si>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</si>
  <si>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</si>
  <si>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</si>
  <si>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</si>
  <si>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</si>
  <si>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</si>
  <si>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</si>
  <si>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</si>
  <si>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</si>
  <si>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</si>
  <si>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</si>
  <si>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</si>
  <si>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</si>
  <si>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</si>
  <si>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</si>
  <si>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</si>
  <si>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</si>
  <si>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</si>
  <si>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</si>
  <si>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</si>
  <si>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</si>
  <si>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</si>
  <si>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</si>
  <si>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</si>
  <si>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</si>
  <si>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</si>
  <si>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</si>
  <si>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</si>
  <si>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</si>
  <si>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</si>
  <si>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</si>
  <si>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</si>
  <si>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</si>
  <si>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</si>
  <si>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</si>
  <si>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</si>
  <si>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</si>
  <si>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</si>
  <si>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</si>
  <si>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</si>
  <si>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</si>
  <si>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</si>
  <si>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</si>
  <si>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</si>
  <si>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</si>
  <si>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</si>
  <si>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</si>
  <si>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</si>
  <si>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</si>
  <si>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</si>
  <si>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</si>
  <si>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</si>
  <si>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</si>
  <si>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</si>
  <si>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</si>
  <si>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</si>
  <si>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</si>
  <si>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</si>
  <si>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</si>
  <si>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</si>
  <si>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</si>
  <si>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</si>
  <si>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</si>
  <si>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</si>
  <si>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</si>
  <si>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</si>
  <si>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</si>
  <si>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</si>
  <si>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</si>
  <si>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</si>
  <si>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</si>
  <si>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</si>
  <si>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</si>
  <si>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</si>
  <si>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</si>
  <si>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</si>
  <si>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</si>
  <si>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</si>
  <si>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</si>
  <si>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</si>
  <si>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</si>
  <si>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</si>
  <si>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</si>
  <si>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</si>
  <si>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</si>
  <si>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</si>
  <si>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</si>
  <si>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</si>
  <si>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</si>
  <si>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</si>
  <si>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</si>
  <si>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</si>
  <si>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</si>
  <si>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</si>
  <si>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</si>
  <si>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</si>
  <si>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</si>
  <si>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</si>
  <si>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</si>
  <si>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</si>
  <si>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</si>
  <si>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</si>
  <si>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</si>
  <si>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</si>
  <si>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</si>
  <si>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</si>
  <si>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</si>
  <si>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</si>
  <si>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</si>
  <si>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</si>
  <si>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</si>
  <si>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</si>
  <si>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</si>
  <si>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</si>
  <si>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</si>
  <si>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</si>
  <si>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</si>
  <si>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</si>
  <si>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</si>
  <si>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</si>
  <si>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</si>
  <si>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</si>
  <si>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</si>
  <si>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</si>
  <si>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</si>
  <si>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</si>
  <si>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</si>
  <si>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</si>
  <si>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</si>
  <si>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</si>
  <si>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</si>
  <si>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</si>
  <si>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</si>
  <si>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</si>
  <si>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</si>
  <si>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</si>
  <si>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</si>
  <si>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</si>
  <si>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</si>
  <si>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</si>
  <si>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</si>
  <si>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</si>
  <si>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</si>
  <si>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</si>
  <si>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</si>
  <si>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</si>
  <si>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</si>
  <si>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</si>
  <si>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</si>
  <si>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</si>
  <si>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</si>
  <si>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</si>
  <si>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</si>
  <si>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</si>
  <si>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</si>
  <si>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</si>
  <si>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</si>
  <si>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</si>
  <si>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</si>
  <si>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</si>
  <si>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</si>
  <si>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</si>
  <si>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</si>
  <si>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</si>
  <si>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</si>
  <si>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</si>
  <si>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</si>
  <si>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</si>
  <si>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</si>
  <si>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</si>
  <si>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</si>
  <si>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</si>
  <si>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</si>
  <si>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</si>
  <si>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</si>
  <si>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</si>
  <si>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</si>
  <si>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</si>
  <si>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</si>
  <si>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</si>
  <si>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</si>
  <si>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</si>
  <si>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</si>
  <si>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</si>
  <si>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</si>
  <si>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</si>
  <si>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</si>
  <si>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</si>
  <si>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</si>
  <si>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</si>
  <si>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</si>
  <si>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</si>
  <si>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</si>
  <si>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</si>
  <si>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</si>
  <si>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</si>
  <si>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</si>
  <si>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</si>
  <si>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</si>
  <si>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</si>
  <si>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</si>
  <si>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</si>
  <si>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</si>
  <si>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</si>
  <si>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</si>
  <si>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</si>
  <si>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</si>
  <si>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</si>
  <si>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</si>
  <si>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</si>
  <si>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</si>
  <si>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</si>
  <si>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</si>
  <si>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</si>
  <si>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</si>
  <si>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</si>
  <si>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</si>
  <si>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</si>
  <si>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</si>
  <si>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</si>
  <si>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</si>
  <si>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</si>
  <si>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</si>
  <si>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</si>
  <si>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</si>
  <si>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</si>
  <si>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</si>
  <si>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</si>
  <si>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</si>
  <si>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</si>
  <si>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</si>
  <si>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</si>
  <si>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</si>
  <si>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</si>
  <si>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</si>
  <si>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</si>
  <si>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</si>
  <si>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</si>
  <si>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</si>
  <si>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</si>
  <si>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</si>
  <si>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</si>
  <si>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</si>
  <si>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</si>
  <si>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</si>
  <si>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</si>
  <si>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</si>
  <si>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</si>
  <si>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</si>
  <si>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</si>
  <si>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</si>
  <si>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</si>
  <si>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</si>
  <si>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</si>
  <si>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</si>
  <si>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</si>
  <si>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</si>
  <si>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</si>
  <si>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</si>
  <si>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</si>
  <si>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</si>
  <si>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</si>
  <si>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</si>
  <si>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</si>
  <si>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</si>
  <si>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</si>
  <si>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</si>
  <si>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</si>
  <si>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</si>
  <si>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</si>
  <si>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</si>
  <si>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</si>
  <si>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</si>
  <si>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</si>
  <si>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</si>
  <si>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</si>
  <si>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</si>
  <si>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</si>
  <si>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</si>
  <si>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</si>
  <si>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</si>
  <si>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</si>
  <si>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</si>
  <si>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</si>
  <si>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</si>
  <si>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</si>
  <si>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</si>
  <si>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</si>
  <si>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</si>
  <si>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</si>
  <si>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</si>
  <si>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</si>
  <si>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</si>
  <si>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</si>
  <si>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</si>
  <si>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</si>
  <si>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</si>
  <si>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</si>
  <si>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</si>
  <si>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</si>
  <si>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</si>
  <si>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</si>
  <si>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</si>
  <si>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</si>
  <si>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</si>
  <si>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</si>
  <si>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</si>
  <si>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</si>
  <si>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</si>
  <si>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</si>
  <si>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</si>
  <si>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</si>
  <si>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</si>
  <si>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</si>
  <si>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</si>
  <si>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</si>
  <si>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</si>
  <si>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</si>
  <si>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</si>
  <si>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</si>
  <si>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</si>
  <si>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</si>
  <si>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</si>
  <si>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</si>
  <si>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</si>
  <si>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</si>
  <si>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</si>
  <si>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</si>
  <si>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</si>
  <si>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</si>
  <si>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</si>
  <si>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</si>
  <si>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</si>
  <si>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</si>
  <si>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</si>
  <si>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</si>
  <si>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</si>
  <si>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</si>
  <si>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</si>
  <si>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</si>
  <si>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</si>
  <si>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</si>
  <si>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</si>
  <si>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</si>
  <si>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</si>
  <si>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</si>
  <si>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</si>
  <si>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</si>
  <si>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</si>
  <si>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</si>
  <si>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</si>
  <si>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</si>
  <si>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</si>
  <si>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</si>
  <si>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</si>
  <si>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</si>
  <si>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</si>
  <si>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</si>
  <si>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</si>
  <si>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</si>
  <si>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</si>
  <si>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</si>
  <si>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</si>
  <si>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</si>
  <si>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</si>
  <si>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</si>
  <si>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</si>
  <si>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</si>
  <si>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</si>
  <si>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</si>
  <si>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</si>
  <si>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</si>
  <si>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</si>
  <si>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</si>
  <si>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</si>
  <si>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</si>
  <si>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</si>
  <si>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</si>
  <si>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</si>
  <si>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</si>
  <si>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</si>
  <si>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</si>
  <si>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</si>
  <si>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</si>
  <si>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</si>
  <si>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</si>
  <si>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</si>
  <si>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</si>
  <si>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</si>
  <si>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</si>
  <si>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</si>
  <si>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</si>
  <si>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</si>
  <si>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</si>
  <si>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</si>
  <si>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</si>
  <si>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</si>
  <si>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</si>
  <si>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</si>
  <si>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</si>
  <si>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</si>
  <si>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</si>
  <si>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</si>
  <si>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</si>
  <si>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</si>
  <si>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</si>
  <si>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</si>
  <si>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</si>
  <si>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</si>
  <si>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</si>
  <si>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</si>
  <si>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</si>
  <si>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</si>
  <si>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</si>
  <si>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</si>
  <si>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</si>
  <si>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</si>
  <si>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</si>
  <si>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</si>
  <si>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</si>
  <si>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</si>
  <si>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</si>
  <si>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</si>
  <si>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</si>
  <si>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</si>
  <si>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</si>
  <si>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</si>
  <si>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</si>
  <si>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</si>
  <si>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</si>
  <si>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</si>
  <si>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</si>
  <si>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</si>
  <si>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</si>
  <si>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</si>
  <si>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</si>
  <si>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</si>
  <si>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</si>
  <si>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</si>
  <si>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</si>
  <si>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</si>
  <si>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</si>
  <si>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</si>
  <si>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</si>
  <si>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</si>
  <si>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</si>
  <si>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</si>
  <si>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</si>
  <si>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</si>
  <si>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</si>
  <si>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</si>
  <si>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</si>
  <si>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</si>
  <si>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</si>
  <si>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</si>
  <si>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</si>
  <si>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</si>
  <si>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</si>
  <si>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</si>
  <si>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</si>
  <si>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</si>
  <si>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</si>
  <si>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</si>
  <si>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</si>
  <si>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</si>
  <si>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</si>
  <si>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</si>
  <si>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</si>
  <si>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</si>
  <si>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</si>
  <si>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</si>
  <si>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</si>
  <si>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</si>
  <si>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</si>
  <si>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</si>
  <si>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</si>
  <si>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</si>
  <si>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</si>
  <si>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</si>
  <si>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</si>
  <si>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</si>
  <si>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</si>
  <si>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</si>
  <si>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</si>
  <si>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</si>
  <si>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</si>
  <si>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</si>
  <si>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</si>
  <si>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</si>
  <si>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</si>
  <si>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</si>
  <si>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</si>
  <si>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</si>
  <si>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</si>
  <si>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</si>
  <si>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</si>
  <si>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</si>
  <si>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</si>
  <si>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</si>
  <si>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</si>
  <si>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</si>
  <si>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</si>
  <si>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</si>
  <si>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</si>
  <si>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</si>
  <si>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</si>
  <si>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</si>
  <si>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</si>
  <si>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</si>
  <si>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</si>
  <si>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</si>
  <si>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</si>
  <si>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</si>
  <si>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</si>
  <si>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</si>
  <si>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</si>
  <si>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</si>
  <si>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</si>
  <si>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</si>
  <si>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</si>
  <si>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</si>
  <si>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</si>
  <si>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</si>
  <si>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</si>
  <si>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</si>
  <si>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</si>
  <si>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</si>
  <si>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</si>
  <si>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</si>
  <si>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</si>
  <si>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</si>
  <si>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</si>
  <si>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</si>
  <si>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</si>
  <si>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</si>
  <si>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</si>
  <si>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</si>
  <si>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</si>
  <si>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</si>
  <si>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</si>
  <si>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</si>
  <si>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</si>
  <si>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</si>
  <si>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</si>
  <si>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</si>
  <si>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</si>
  <si>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</si>
  <si>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</si>
  <si>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</si>
  <si>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</si>
  <si>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</si>
  <si>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</si>
  <si>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</si>
  <si>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</si>
  <si>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</si>
  <si>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</si>
  <si>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</si>
  <si>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</si>
  <si>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</si>
  <si>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</si>
  <si>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</si>
  <si>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</si>
  <si>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</si>
  <si>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</si>
  <si>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</si>
  <si>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</si>
  <si>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</si>
  <si>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</si>
  <si>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</si>
  <si>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</si>
  <si>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</si>
  <si>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</si>
  <si>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</si>
  <si>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</si>
  <si>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</si>
  <si>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</si>
  <si>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</si>
  <si>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</si>
  <si>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</si>
  <si>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</si>
  <si>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</si>
  <si>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</si>
  <si>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</si>
  <si>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</si>
  <si>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</si>
  <si>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</si>
  <si>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</si>
  <si>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</si>
  <si>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</si>
  <si>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</si>
  <si>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</si>
  <si>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</si>
  <si>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</si>
  <si>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</si>
  <si>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</si>
  <si>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</si>
  <si>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</si>
  <si>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</si>
  <si>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</si>
  <si>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</si>
  <si>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</si>
  <si>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</si>
  <si>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</si>
  <si>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</si>
  <si>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</si>
  <si>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</si>
  <si>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</si>
  <si>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</si>
  <si>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</si>
  <si>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</si>
  <si>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</si>
  <si>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</si>
  <si>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</si>
  <si>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</si>
  <si>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</si>
  <si>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</si>
  <si>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</si>
  <si>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</si>
  <si>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</si>
  <si>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</si>
  <si>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</si>
  <si>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</si>
  <si>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</si>
  <si>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</si>
  <si>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</si>
  <si>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</si>
  <si>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</si>
  <si>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</si>
  <si>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</si>
  <si>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</si>
  <si>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</si>
  <si>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</si>
  <si>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</si>
  <si>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</si>
  <si>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</si>
  <si>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</si>
  <si>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</si>
  <si>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</si>
  <si>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</si>
  <si>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</si>
  <si>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</si>
  <si>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</si>
  <si>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</si>
  <si>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</si>
  <si>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</si>
  <si>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</si>
  <si>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</si>
  <si>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</si>
  <si>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</si>
  <si>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</si>
  <si>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</si>
  <si>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</si>
  <si>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</si>
  <si>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</si>
  <si>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</si>
  <si>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</si>
  <si>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</si>
  <si>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</si>
  <si>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</si>
  <si>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</si>
  <si>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</si>
  <si>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</si>
  <si>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</si>
  <si>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</si>
  <si>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</si>
  <si>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</si>
  <si>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</si>
  <si>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</si>
  <si>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</si>
  <si>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</si>
  <si>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</si>
  <si>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</si>
  <si>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</si>
  <si>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</si>
  <si>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</si>
  <si>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</si>
  <si>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</si>
  <si>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</si>
  <si>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</si>
  <si>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</si>
  <si>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</si>
  <si>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</si>
  <si>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</si>
  <si>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</si>
  <si>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</si>
  <si>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</si>
  <si>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</si>
  <si>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</si>
  <si>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</si>
  <si>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</si>
  <si>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</si>
  <si>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</si>
  <si>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</si>
  <si>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</si>
  <si>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</si>
  <si>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</si>
  <si>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</si>
  <si>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</si>
  <si>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</si>
  <si>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</si>
  <si>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</si>
  <si>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</si>
  <si>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</si>
  <si>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</si>
  <si>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</si>
  <si>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</si>
  <si>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</si>
  <si>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</si>
  <si>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</si>
  <si>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</si>
  <si>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</si>
  <si>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</si>
  <si>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</si>
  <si>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</si>
  <si>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</si>
  <si>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</si>
  <si>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</si>
  <si>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</si>
  <si>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</si>
  <si>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</si>
  <si>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</si>
  <si>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</si>
  <si>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</si>
  <si>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</si>
  <si>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</si>
  <si>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</si>
  <si>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</si>
  <si>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</si>
  <si>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</si>
  <si>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</si>
  <si>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</si>
  <si>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</si>
  <si>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</si>
  <si>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</si>
  <si>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</si>
  <si>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</si>
  <si>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</si>
  <si>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</si>
  <si>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</si>
  <si>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</si>
  <si>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</si>
  <si>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</si>
  <si>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</si>
  <si>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</si>
  <si>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</si>
  <si>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</si>
  <si>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</si>
  <si>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</si>
  <si>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</si>
  <si>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</si>
  <si>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</si>
  <si>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</si>
  <si>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</si>
  <si>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</si>
  <si>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</si>
  <si>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</si>
  <si>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</si>
  <si>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</si>
  <si>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</si>
  <si>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</si>
  <si>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</si>
  <si>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</si>
  <si>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</si>
  <si>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</si>
  <si>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</si>
  <si>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</si>
  <si>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</si>
  <si>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</si>
  <si>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</si>
  <si>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</si>
  <si>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</si>
  <si>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</si>
  <si>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</si>
  <si>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</si>
  <si>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</si>
  <si>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</si>
  <si>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</si>
  <si>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</si>
  <si>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</si>
  <si>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</si>
  <si>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</si>
  <si>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</si>
  <si>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</si>
  <si>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</si>
  <si>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</si>
  <si>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</si>
  <si>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</si>
  <si>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</si>
  <si>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</si>
  <si>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</si>
  <si>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</si>
  <si>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</si>
  <si>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</si>
  <si>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</si>
  <si>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</si>
  <si>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</si>
  <si>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</si>
  <si>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</si>
  <si>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</si>
  <si>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</si>
  <si>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</si>
  <si>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</si>
  <si>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</si>
  <si>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</si>
  <si>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</si>
  <si>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</si>
  <si>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</si>
  <si>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</si>
  <si>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</si>
  <si>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</si>
  <si>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</si>
  <si>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</si>
  <si>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</si>
  <si>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</si>
  <si>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</si>
  <si>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</si>
  <si>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</si>
  <si>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</si>
  <si>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</si>
  <si>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</si>
  <si>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</si>
  <si>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</si>
  <si>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</si>
  <si>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</si>
  <si>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</si>
  <si>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</si>
  <si>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</si>
  <si>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</si>
  <si>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</si>
  <si>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</si>
  <si>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</si>
  <si>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</si>
  <si>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</si>
  <si>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</si>
  <si>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</si>
  <si>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</si>
  <si>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</si>
  <si>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</si>
  <si>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</si>
  <si>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</si>
  <si>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</si>
  <si>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</si>
  <si>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</si>
  <si>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</si>
  <si>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</si>
  <si>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</si>
  <si>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</si>
  <si>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</si>
  <si>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</si>
  <si>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</si>
  <si>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</si>
  <si>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</si>
  <si>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</si>
  <si>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</si>
  <si>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</si>
  <si>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</si>
  <si>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</si>
  <si>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</si>
  <si>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</si>
  <si>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</si>
  <si>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</si>
  <si>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</si>
  <si>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</si>
  <si>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</si>
  <si>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</si>
  <si>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</si>
  <si>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</si>
  <si>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</si>
  <si>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</si>
  <si>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</si>
  <si>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</si>
  <si>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</si>
  <si>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</si>
  <si>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</si>
  <si>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</si>
  <si>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</si>
  <si>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</si>
  <si>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</si>
  <si>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</si>
  <si>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</si>
  <si>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</si>
  <si>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</si>
  <si>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</si>
  <si>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</si>
  <si>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</si>
  <si>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</si>
  <si>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</si>
  <si>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</si>
  <si>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</si>
  <si>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</si>
  <si>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</si>
  <si>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</si>
  <si>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</si>
  <si>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</si>
  <si>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</si>
  <si>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</si>
  <si>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</si>
  <si>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</si>
  <si>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</si>
  <si>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</si>
  <si>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</si>
  <si>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</si>
  <si>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</si>
  <si>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</si>
  <si>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</si>
  <si>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</si>
  <si>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</si>
  <si>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</si>
  <si>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</si>
  <si>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</si>
  <si>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</si>
  <si>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</si>
  <si>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</si>
  <si>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</si>
  <si>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</si>
  <si>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</si>
  <si>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</si>
  <si>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</si>
  <si>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</si>
  <si>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</si>
  <si>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</si>
  <si>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</si>
  <si>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</si>
  <si>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</si>
  <si>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</si>
  <si>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</si>
  <si>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</si>
  <si>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</si>
  <si>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</si>
  <si>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</si>
  <si>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</si>
  <si>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</si>
  <si>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</si>
  <si>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</si>
  <si>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</si>
  <si>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</si>
  <si>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</si>
  <si>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</si>
  <si>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</si>
  <si>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</si>
  <si>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</si>
  <si>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</si>
  <si>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</si>
  <si>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</si>
  <si>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</si>
  <si>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</si>
  <si>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</si>
  <si>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</si>
  <si>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</si>
  <si>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</si>
  <si>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</si>
  <si>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</si>
  <si>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</si>
  <si>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</si>
  <si>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</si>
  <si>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</si>
  <si>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</si>
  <si>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</si>
  <si>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</si>
  <si>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</si>
  <si>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</si>
  <si>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</si>
  <si>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</si>
  <si>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</si>
  <si>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</si>
  <si>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</si>
  <si>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</si>
  <si>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</si>
  <si>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</si>
  <si>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</si>
  <si>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</si>
  <si>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</si>
  <si>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</si>
  <si>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</si>
  <si>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</si>
  <si>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</si>
  <si>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</si>
  <si>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</si>
  <si>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</si>
  <si>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</si>
  <si>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</si>
  <si>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</si>
  <si>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</si>
  <si>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</si>
  <si>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</si>
  <si>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</si>
  <si>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</si>
  <si>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</si>
  <si>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</si>
  <si>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</si>
  <si>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</si>
  <si>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</si>
  <si>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</si>
  <si>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</si>
  <si>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</si>
  <si>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</si>
  <si>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</si>
  <si>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</si>
  <si>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</si>
  <si>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</si>
  <si>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</si>
  <si>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</si>
  <si>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</si>
  <si>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</si>
  <si>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</si>
  <si>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</si>
  <si>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</si>
  <si>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</si>
  <si>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</si>
  <si>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</si>
  <si>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</si>
  <si>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</si>
  <si>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</si>
  <si>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</si>
  <si>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</si>
  <si>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</si>
  <si>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</si>
  <si>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</si>
  <si>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</si>
  <si>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</si>
  <si>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</si>
  <si>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</si>
  <si>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</si>
  <si>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</si>
  <si>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</si>
  <si>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</si>
  <si>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</si>
  <si>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</si>
  <si>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</si>
  <si>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</si>
  <si>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</si>
  <si>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</si>
  <si>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</si>
  <si>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</si>
  <si>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</si>
  <si>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</si>
  <si>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</si>
  <si>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</si>
  <si>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</si>
  <si>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</si>
  <si>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</si>
  <si>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</si>
  <si>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</si>
  <si>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</si>
  <si>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</si>
  <si>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</si>
  <si>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</si>
  <si>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</si>
  <si>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</si>
  <si>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</si>
  <si>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</si>
  <si>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</si>
  <si>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</si>
  <si>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</si>
  <si>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</si>
  <si>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</si>
  <si>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</si>
  <si>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</si>
  <si>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</si>
  <si>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</si>
  <si>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</si>
  <si>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</si>
  <si>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</si>
  <si>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</si>
  <si>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</si>
  <si>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</si>
  <si>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</si>
  <si>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</si>
  <si>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</si>
  <si>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</si>
  <si>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</si>
  <si>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</si>
  <si>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</si>
  <si>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</si>
  <si>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</si>
  <si>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</si>
  <si>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</si>
  <si>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</si>
  <si>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</si>
  <si>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</si>
  <si>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</si>
  <si>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</si>
  <si>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</si>
  <si>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</si>
  <si>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</si>
  <si>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</si>
  <si>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</si>
  <si>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</si>
  <si>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</si>
  <si>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</si>
  <si>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</si>
  <si>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</si>
  <si>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</si>
  <si>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</si>
  <si>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</si>
  <si>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</si>
  <si>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</si>
  <si>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</si>
  <si>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</si>
  <si>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</si>
  <si>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</si>
  <si>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</si>
  <si>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</si>
  <si>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</si>
  <si>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</si>
  <si>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</si>
  <si>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</si>
  <si>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</si>
  <si>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</si>
  <si>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</si>
  <si>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</si>
  <si>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</si>
  <si>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</si>
  <si>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</si>
  <si>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</si>
  <si>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</si>
  <si>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</si>
  <si>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</si>
  <si>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</si>
  <si>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</si>
  <si>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</si>
  <si>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</si>
  <si>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</si>
  <si>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</si>
  <si>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</si>
  <si>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</si>
  <si>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</si>
  <si>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</si>
  <si>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</si>
  <si>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</si>
  <si>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</si>
  <si>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</si>
  <si>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</si>
  <si>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</si>
  <si>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</si>
  <si>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</si>
  <si>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</si>
  <si>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</si>
  <si>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</si>
  <si>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</si>
  <si>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</si>
  <si>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</si>
  <si>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</si>
  <si>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</si>
  <si>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</si>
  <si>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</si>
  <si>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</si>
  <si>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</si>
  <si>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</si>
  <si>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</si>
  <si>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</si>
  <si>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</si>
  <si>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</si>
  <si>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</si>
  <si>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</si>
  <si>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</si>
  <si>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</si>
  <si>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</si>
  <si>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</si>
  <si>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</si>
  <si>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</si>
  <si>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</si>
  <si>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</si>
  <si>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</si>
  <si>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</si>
  <si>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</si>
  <si>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</si>
  <si>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</si>
  <si>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</si>
  <si>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</si>
  <si>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</si>
  <si>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</si>
  <si>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</si>
  <si>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</si>
  <si>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</si>
  <si>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</si>
  <si>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</si>
  <si>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</si>
  <si>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</si>
  <si>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</si>
  <si>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</si>
  <si>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</si>
  <si>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</si>
  <si>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</si>
  <si>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</si>
  <si>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</si>
  <si>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</si>
  <si>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</si>
  <si>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</si>
  <si>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</si>
  <si>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</si>
  <si>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</si>
  <si>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</si>
  <si>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</si>
  <si>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</si>
  <si>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</si>
  <si>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</si>
  <si>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</si>
  <si>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</si>
  <si>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</si>
  <si>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</si>
  <si>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</si>
  <si>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</si>
  <si>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</si>
  <si>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</si>
  <si>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</si>
  <si>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</si>
  <si>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</si>
  <si>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</si>
  <si>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</si>
  <si>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</si>
  <si>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</si>
  <si>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</si>
  <si>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</si>
  <si>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</si>
  <si>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</si>
  <si>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</si>
  <si>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</si>
  <si>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</si>
  <si>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</si>
  <si>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</si>
  <si>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</si>
  <si>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</si>
  <si>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</si>
  <si>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</si>
  <si>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</si>
  <si>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</si>
  <si>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</si>
  <si>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</si>
  <si>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</si>
  <si>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</si>
  <si>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</si>
  <si>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</si>
  <si>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</si>
  <si>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</si>
  <si>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</si>
  <si>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</si>
  <si>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</si>
  <si>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</si>
  <si>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</si>
  <si>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</si>
  <si>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</si>
  <si>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</si>
  <si>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</si>
  <si>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</si>
  <si>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</si>
  <si>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</si>
  <si>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</si>
  <si>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</si>
  <si>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</si>
  <si>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</si>
  <si>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</si>
  <si>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</si>
  <si>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</si>
  <si>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</si>
  <si>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</si>
  <si>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</si>
  <si>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</si>
  <si>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</si>
  <si>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</si>
  <si>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</si>
  <si>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</si>
  <si>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</si>
  <si>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</si>
  <si>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</si>
  <si>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</si>
  <si>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</si>
  <si>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</si>
  <si>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</si>
  <si>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</si>
  <si>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</si>
  <si>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</si>
  <si>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</si>
  <si>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</si>
  <si>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</si>
  <si>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</si>
  <si>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</si>
  <si>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</si>
  <si>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</si>
  <si>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</si>
  <si>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</si>
  <si>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</si>
  <si>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</si>
  <si>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</si>
  <si>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</si>
  <si>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</si>
  <si>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</si>
  <si>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</si>
  <si>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</si>
  <si>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</si>
  <si>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</si>
  <si>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</si>
  <si>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</si>
  <si>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</si>
  <si>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</si>
  <si>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</si>
  <si>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</si>
  <si>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</si>
  <si>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</si>
  <si>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</si>
  <si>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</si>
  <si>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</si>
  <si>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</si>
  <si>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</si>
  <si>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</si>
  <si>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</si>
  <si>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</si>
  <si>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</si>
  <si>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</si>
  <si>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</si>
  <si>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</si>
  <si>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</si>
  <si>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</si>
  <si>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</si>
  <si>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</si>
  <si>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</si>
  <si>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</si>
  <si>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</si>
  <si>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</si>
  <si>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</si>
  <si>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</si>
  <si>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</si>
  <si>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</si>
  <si>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</si>
  <si>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</si>
  <si>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</si>
  <si>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</si>
  <si>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</si>
  <si>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</si>
  <si>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</si>
  <si>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</si>
  <si>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</si>
  <si>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</si>
  <si>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</si>
  <si>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</si>
  <si>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</si>
  <si>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</si>
  <si>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</si>
  <si>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</si>
  <si>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</si>
  <si>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</si>
  <si>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</si>
  <si>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</si>
  <si>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</si>
  <si>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</si>
  <si>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</si>
  <si>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</si>
  <si>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</si>
  <si>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</si>
  <si>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</si>
  <si>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</si>
  <si>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</si>
  <si>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</si>
  <si>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</si>
  <si>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</si>
  <si>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</si>
  <si>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</si>
  <si>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</si>
  <si>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</si>
  <si>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</si>
  <si>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</si>
  <si>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</si>
  <si>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</si>
  <si>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</si>
  <si>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</si>
  <si>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</si>
  <si>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</si>
  <si>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</si>
  <si>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</si>
  <si>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</si>
  <si>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</si>
  <si>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</si>
  <si>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</si>
  <si>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</si>
  <si>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</si>
  <si>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</si>
  <si>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</si>
  <si>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</si>
  <si>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</si>
  <si>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</si>
  <si>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</si>
  <si>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</si>
  <si>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</si>
  <si>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</si>
  <si>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</si>
  <si>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</si>
  <si>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</si>
  <si>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</si>
  <si>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</si>
  <si>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</si>
  <si>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</si>
  <si>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</si>
  <si>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</si>
  <si>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</si>
  <si>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</si>
  <si>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</si>
  <si>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</si>
  <si>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</si>
  <si>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</si>
  <si>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</si>
  <si>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</si>
  <si>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</si>
  <si>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</si>
  <si>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</si>
  <si>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</si>
  <si>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</si>
  <si>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</si>
  <si>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</si>
  <si>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</si>
  <si>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</si>
  <si>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</si>
  <si>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</si>
  <si>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</si>
  <si>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</si>
  <si>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</si>
  <si>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</si>
  <si>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</si>
  <si>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</si>
  <si>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</si>
  <si>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</si>
  <si>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</si>
  <si>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</si>
  <si>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</si>
  <si>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</si>
  <si>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</si>
  <si>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</si>
  <si>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</si>
  <si>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</si>
  <si>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</si>
  <si>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</si>
  <si>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</si>
  <si>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</si>
  <si>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</si>
  <si>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</si>
  <si>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</si>
  <si>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</si>
  <si>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</si>
  <si>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</si>
  <si>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</si>
  <si>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</si>
  <si>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</si>
  <si>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</si>
  <si>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</si>
  <si>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</si>
  <si>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</si>
  <si>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</si>
  <si>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</si>
  <si>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</si>
  <si>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</si>
  <si>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</si>
  <si>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</si>
  <si>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</si>
  <si>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</si>
  <si>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</si>
  <si>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</si>
  <si>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</si>
  <si>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</si>
  <si>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</si>
  <si>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</si>
  <si>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</si>
  <si>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</si>
  <si>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</si>
  <si>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</si>
  <si>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</si>
  <si>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</si>
  <si>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</si>
  <si>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</si>
  <si>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</si>
  <si>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</si>
  <si>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</si>
  <si>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</si>
  <si>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</si>
  <si>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</si>
  <si>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</si>
  <si>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</si>
  <si>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</si>
  <si>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</si>
  <si>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</si>
  <si>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</si>
  <si>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</si>
  <si>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</si>
  <si>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</si>
  <si>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</si>
  <si>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</si>
  <si>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</si>
  <si>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</si>
  <si>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</si>
  <si>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</si>
  <si>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</si>
  <si>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</si>
  <si>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</si>
  <si>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</si>
  <si>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</si>
  <si>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</si>
  <si>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</si>
  <si>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</si>
  <si>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</si>
  <si>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</si>
  <si>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</si>
  <si>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</si>
  <si>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</si>
  <si>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</si>
  <si>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</si>
  <si>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</si>
  <si>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</si>
  <si>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</si>
  <si>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</si>
  <si>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</si>
  <si>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</si>
  <si>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</si>
  <si>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</si>
  <si>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</si>
  <si>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</si>
  <si>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</si>
  <si>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</si>
  <si>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</si>
  <si>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</si>
  <si>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</si>
  <si>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</si>
  <si>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</si>
  <si>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</si>
  <si>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</si>
  <si>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</si>
  <si>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</si>
  <si>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</si>
  <si>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</si>
  <si>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</si>
  <si>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</si>
  <si>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</si>
  <si>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</si>
  <si>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</si>
  <si>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</si>
  <si>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</si>
  <si>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</si>
  <si>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</si>
  <si>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</si>
  <si>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</si>
  <si>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</si>
  <si>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</si>
  <si>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</si>
  <si>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</si>
  <si>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</si>
  <si>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</si>
  <si>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</si>
  <si>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</si>
  <si>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</si>
  <si>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</si>
  <si>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</si>
  <si>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</si>
  <si>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</si>
  <si>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</si>
  <si>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</si>
  <si>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</si>
  <si>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</si>
  <si>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</si>
  <si>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</si>
  <si>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</si>
  <si>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</si>
  <si>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</si>
  <si>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</si>
  <si>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</si>
  <si>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</si>
  <si>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</si>
  <si>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</si>
  <si>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</si>
  <si>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</si>
  <si>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</si>
  <si>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</si>
  <si>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</si>
  <si>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</si>
  <si>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</si>
  <si>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</si>
  <si>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</si>
  <si>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</si>
  <si>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</si>
  <si>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</si>
  <si>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</si>
  <si>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</si>
  <si>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</si>
  <si>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</si>
  <si>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</si>
  <si>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</si>
  <si>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</si>
  <si>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</si>
  <si>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</si>
  <si>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</si>
  <si>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</si>
  <si>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</si>
  <si>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</si>
  <si>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</si>
  <si>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</si>
  <si>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</si>
  <si>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</si>
  <si>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</si>
  <si>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</si>
  <si>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</si>
  <si>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</si>
  <si>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</si>
  <si>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</si>
  <si>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</si>
  <si>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</si>
  <si>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</si>
  <si>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</si>
  <si>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</si>
  <si>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</si>
  <si>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</si>
  <si>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</si>
  <si>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</si>
  <si>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</si>
  <si>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</si>
  <si>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</si>
  <si>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</si>
  <si>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</si>
  <si>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</si>
  <si>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</si>
  <si>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</si>
  <si>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</si>
  <si>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</si>
  <si>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</si>
  <si>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</si>
  <si>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</si>
  <si>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</si>
  <si>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</si>
  <si>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</si>
  <si>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</si>
  <si>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</si>
  <si>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</si>
  <si>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</si>
  <si>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</si>
  <si>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</si>
  <si>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</si>
  <si>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</si>
  <si>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</si>
  <si>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</si>
  <si>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</si>
  <si>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</si>
  <si>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</si>
  <si>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</si>
  <si>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</si>
  <si>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</si>
  <si>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</si>
  <si>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</si>
  <si>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</si>
  <si>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</si>
  <si>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</si>
  <si>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</si>
  <si>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</si>
  <si>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</si>
  <si>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</si>
  <si>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</si>
  <si>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</si>
  <si>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</si>
  <si>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</si>
  <si>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</si>
  <si>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</si>
  <si>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</si>
  <si>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</si>
  <si>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</si>
  <si>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</si>
  <si>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</si>
  <si>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</si>
  <si>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</si>
  <si>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</si>
  <si>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</si>
  <si>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</si>
  <si>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</si>
  <si>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</si>
  <si>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</si>
  <si>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</si>
  <si>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</si>
  <si>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</si>
  <si>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</si>
  <si>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</si>
  <si>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</si>
  <si>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</si>
  <si>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</si>
  <si>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</si>
  <si>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</si>
  <si>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</si>
  <si>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</si>
  <si>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</si>
  <si>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</si>
  <si>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</si>
  <si>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</si>
  <si>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</si>
  <si>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</si>
  <si>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</si>
  <si>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</si>
  <si>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</si>
  <si>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</si>
  <si>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</si>
  <si>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</si>
  <si>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</si>
  <si>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</si>
  <si>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</si>
  <si>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</si>
  <si>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</si>
  <si>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</si>
  <si>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</si>
  <si>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</si>
  <si>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</si>
  <si>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</si>
  <si>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</si>
  <si>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</si>
  <si>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</si>
  <si>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</si>
  <si>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</si>
  <si>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</si>
  <si>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</si>
  <si>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</si>
  <si>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</si>
  <si>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</si>
  <si>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</si>
  <si>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</si>
  <si>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</si>
  <si>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</si>
  <si>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</si>
  <si>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</si>
  <si>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</si>
  <si>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</si>
  <si>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</si>
  <si>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</si>
  <si>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</si>
  <si>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</si>
  <si>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</si>
  <si>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</si>
  <si>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</si>
  <si>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</si>
  <si>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</si>
  <si>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</si>
  <si>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</si>
  <si>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</si>
  <si>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</si>
  <si>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</si>
  <si>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</si>
  <si>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</si>
  <si>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</si>
  <si>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</si>
  <si>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</si>
  <si>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</si>
  <si>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</si>
  <si>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</si>
  <si>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</si>
  <si>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</si>
  <si>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</si>
  <si>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</si>
  <si>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</si>
  <si>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</si>
  <si>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</si>
  <si>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</si>
  <si>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</si>
  <si>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</si>
  <si>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</si>
  <si>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</si>
  <si>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</si>
  <si>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</si>
  <si>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</si>
  <si>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</si>
  <si>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</si>
  <si>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</si>
  <si>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</si>
  <si>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</si>
  <si>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</si>
  <si>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</si>
  <si>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</si>
  <si>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</si>
  <si>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</si>
  <si>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</si>
  <si>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</si>
  <si>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</si>
  <si>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</si>
  <si>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</si>
  <si>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</si>
  <si>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</si>
  <si>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</si>
  <si>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</si>
  <si>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</si>
  <si>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</si>
  <si>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</si>
  <si>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</si>
  <si>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</si>
  <si>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</si>
  <si>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</si>
  <si>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</si>
  <si>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</si>
  <si>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</si>
  <si>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</si>
  <si>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</si>
  <si>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</si>
  <si>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</si>
  <si>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</si>
  <si>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</si>
  <si>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</si>
  <si>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</si>
  <si>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</si>
  <si>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</si>
  <si>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</si>
  <si>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</si>
  <si>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</si>
  <si>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</si>
  <si>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</si>
  <si>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</si>
  <si>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</si>
  <si>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</si>
  <si>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</si>
  <si>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</si>
  <si>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</si>
  <si>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</si>
  <si>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</si>
  <si>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</si>
  <si>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</si>
  <si>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</si>
  <si>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</si>
  <si>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</si>
  <si>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</si>
  <si>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</si>
  <si>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</si>
  <si>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</si>
  <si>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</si>
  <si>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</si>
  <si>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</si>
  <si>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</si>
  <si>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</si>
  <si>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</si>
  <si>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</si>
  <si>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</si>
  <si>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</si>
  <si>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</si>
  <si>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</si>
  <si>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</si>
  <si>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</si>
  <si>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</si>
  <si>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</si>
  <si>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</si>
  <si>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</si>
  <si>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</si>
  <si>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</si>
  <si>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</si>
  <si>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</si>
  <si>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</si>
  <si>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</si>
  <si>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</si>
  <si>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</si>
  <si>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</si>
  <si>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</si>
  <si>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</si>
  <si>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</si>
  <si>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</si>
  <si>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</si>
  <si>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</si>
  <si>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</si>
  <si>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</si>
  <si>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</si>
  <si>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</si>
  <si>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</si>
  <si>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</si>
  <si>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</si>
  <si>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</si>
  <si>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</si>
  <si>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</si>
  <si>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</si>
  <si>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</si>
  <si>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</si>
  <si>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</si>
  <si>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</si>
  <si>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</si>
  <si>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</si>
  <si>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</si>
  <si>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</si>
  <si>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</si>
  <si>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</si>
  <si>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</si>
  <si>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</si>
  <si>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</si>
  <si>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</si>
  <si>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</si>
  <si>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</si>
  <si>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</si>
  <si>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</si>
  <si>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</si>
  <si>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</si>
  <si>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</si>
  <si>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</si>
  <si>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</si>
  <si>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</si>
  <si>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</si>
  <si>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</si>
  <si>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</si>
  <si>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</si>
  <si>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</si>
  <si>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</si>
  <si>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</si>
  <si>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</si>
  <si>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</si>
  <si>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</si>
  <si>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</si>
  <si>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</si>
  <si>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</si>
  <si>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</si>
  <si>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</si>
  <si>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</si>
  <si>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</si>
  <si>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</si>
  <si>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</si>
  <si>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</si>
  <si>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</si>
  <si>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</si>
  <si>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</si>
  <si>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</si>
  <si>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</si>
  <si>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</si>
  <si>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</si>
  <si>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</si>
  <si>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</si>
  <si>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</si>
  <si>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</si>
  <si>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</si>
  <si>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</si>
  <si>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</si>
  <si>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</si>
  <si>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</si>
  <si>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</si>
  <si>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</si>
  <si>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</si>
  <si>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</si>
  <si>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</si>
  <si>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</si>
  <si>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</si>
  <si>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</si>
  <si>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</si>
  <si>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</si>
  <si>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</si>
  <si>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</si>
  <si>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</si>
  <si>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</si>
  <si>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</si>
  <si>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</si>
  <si>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</si>
  <si>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</si>
  <si>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</si>
  <si>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</si>
  <si>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</si>
  <si>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</si>
  <si>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</si>
  <si>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</si>
  <si>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</si>
  <si>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</si>
  <si>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</si>
  <si>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</si>
  <si>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</si>
  <si>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</si>
  <si>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</si>
  <si>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</si>
  <si>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</si>
  <si>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</si>
  <si>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</si>
  <si>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</si>
  <si>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</si>
  <si>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</si>
  <si>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</si>
  <si>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</si>
  <si>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</si>
  <si>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</si>
  <si>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</si>
  <si>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</si>
  <si>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</si>
  <si>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</si>
  <si>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</si>
  <si>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</si>
  <si>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</si>
  <si>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</si>
  <si>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</si>
  <si>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</si>
  <si>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</si>
  <si>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</si>
  <si>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</si>
  <si>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</si>
  <si>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</si>
  <si>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</si>
  <si>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</si>
  <si>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</si>
  <si>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</si>
  <si>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</si>
  <si>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</si>
  <si>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</si>
  <si>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</si>
  <si>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</si>
  <si>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</si>
  <si>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</si>
  <si>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</si>
  <si>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</si>
  <si>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</si>
  <si>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</si>
  <si>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</si>
  <si>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</si>
  <si>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</si>
  <si>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</si>
  <si>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</si>
  <si>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</si>
  <si>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</si>
  <si>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</si>
  <si>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</si>
  <si>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</si>
  <si>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</si>
  <si>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</si>
  <si>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</si>
  <si>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</si>
  <si>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</si>
  <si>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</si>
  <si>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</si>
  <si>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</si>
  <si>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</si>
  <si>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</si>
  <si>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</si>
  <si>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</si>
  <si>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</si>
  <si>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</si>
  <si>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</si>
  <si>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</si>
  <si>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</si>
  <si>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</si>
  <si>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</si>
  <si>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</si>
  <si>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</si>
  <si>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</si>
  <si>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</si>
  <si>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</si>
  <si>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</si>
  <si>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</si>
  <si>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</si>
  <si>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</si>
  <si>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</si>
  <si>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</si>
  <si>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</si>
  <si>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</si>
  <si>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</si>
  <si>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</si>
  <si>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</si>
  <si>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</si>
  <si>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</si>
  <si>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</si>
  <si>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</si>
  <si>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</si>
  <si>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</si>
  <si>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</si>
  <si>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</si>
  <si>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</si>
  <si>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</si>
  <si>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</si>
  <si>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</si>
  <si>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</si>
  <si>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</si>
  <si>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</si>
  <si>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</si>
  <si>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</si>
  <si>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</si>
  <si>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</si>
  <si>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</si>
  <si>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</si>
  <si>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</si>
  <si>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</si>
  <si>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</si>
  <si>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</si>
  <si>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</si>
  <si>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</si>
  <si>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</si>
  <si>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</si>
  <si>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</si>
  <si>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</si>
  <si>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</si>
  <si>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</si>
  <si>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</si>
  <si>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</si>
  <si>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</si>
  <si>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</si>
  <si>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</si>
  <si>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</si>
  <si>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</si>
  <si>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</si>
  <si>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</si>
  <si>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</si>
  <si>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</si>
  <si>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</si>
  <si>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</si>
  <si>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</si>
  <si>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</si>
  <si>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</si>
  <si>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</si>
  <si>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</si>
  <si>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</si>
  <si>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</si>
  <si>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</si>
  <si>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</si>
  <si>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</si>
  <si>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</si>
  <si>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</si>
  <si>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</si>
  <si>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</si>
  <si>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</si>
  <si>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</si>
  <si>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</si>
  <si>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</si>
  <si>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</si>
  <si>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</si>
  <si>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</si>
  <si>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</si>
  <si>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</si>
  <si>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</si>
  <si>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</si>
  <si>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</si>
  <si>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</si>
  <si>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</si>
  <si>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</si>
  <si>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</si>
  <si>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</si>
  <si>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</si>
  <si>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</si>
  <si>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</si>
  <si>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</si>
  <si>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</si>
  <si>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</si>
  <si>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</si>
  <si>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</si>
  <si>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</si>
  <si>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</si>
  <si>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</si>
  <si>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</si>
  <si>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</si>
  <si>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</si>
  <si>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</si>
  <si>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</si>
  <si>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</si>
  <si>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</si>
  <si>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</si>
  <si>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</si>
  <si>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</si>
  <si>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</si>
  <si>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</si>
  <si>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</si>
  <si>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</si>
  <si>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</si>
  <si>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</si>
  <si>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</si>
  <si>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</si>
  <si>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</si>
  <si>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</si>
  <si>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</si>
  <si>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</si>
  <si>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</si>
  <si>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</si>
  <si>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</si>
  <si>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</si>
  <si>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</si>
  <si>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</si>
  <si>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</si>
  <si>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</si>
  <si>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</si>
  <si>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</si>
  <si>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</si>
  <si>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</si>
  <si>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</si>
  <si>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</si>
  <si>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</si>
  <si>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</si>
  <si>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</si>
  <si>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</si>
  <si>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</si>
  <si>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</si>
  <si>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</si>
  <si>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</si>
  <si>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</si>
  <si>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</si>
  <si>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</si>
  <si>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</si>
  <si>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</si>
  <si>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</si>
  <si>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</si>
  <si>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</si>
  <si>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</si>
  <si>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</si>
  <si>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</si>
  <si>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</si>
  <si>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</si>
  <si>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</si>
  <si>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</si>
  <si>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</si>
  <si>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</si>
  <si>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</si>
  <si>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</si>
  <si>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</si>
  <si>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</si>
  <si>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</si>
  <si>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</si>
  <si>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</si>
  <si>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</si>
  <si>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</si>
  <si>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</si>
  <si>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</si>
  <si>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</si>
  <si>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</si>
  <si>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</si>
  <si>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</si>
  <si>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</si>
  <si>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</si>
  <si>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</si>
  <si>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</si>
  <si>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</si>
  <si>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</si>
  <si>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</si>
  <si>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</si>
  <si>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</si>
  <si>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</si>
  <si>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</si>
  <si>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</si>
  <si>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</si>
  <si>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</si>
  <si>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</si>
  <si>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</si>
  <si>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</si>
  <si>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</si>
  <si>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</si>
  <si>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</si>
  <si>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</si>
  <si>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</si>
  <si>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</si>
  <si>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</si>
  <si>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</si>
  <si>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</si>
  <si>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</si>
  <si>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</si>
  <si>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</si>
  <si>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</si>
  <si>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</si>
  <si>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</si>
  <si>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</si>
  <si>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</si>
  <si>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</si>
  <si>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</si>
  <si>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</si>
  <si>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</si>
  <si>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</si>
  <si>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</si>
  <si>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</si>
  <si>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</si>
  <si>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</si>
  <si>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</si>
  <si>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</si>
  <si>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</si>
  <si>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</si>
  <si>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</si>
  <si>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</si>
  <si>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</si>
  <si>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</si>
  <si>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</si>
  <si>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</si>
  <si>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</si>
  <si>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</si>
  <si>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</si>
  <si>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</si>
  <si>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</si>
  <si>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</si>
  <si>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</si>
  <si>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</si>
  <si>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</si>
  <si>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</si>
  <si>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</si>
  <si>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</si>
  <si>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</si>
  <si>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</si>
  <si>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</si>
  <si>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</si>
  <si>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</si>
  <si>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</si>
  <si>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</si>
  <si>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</si>
  <si>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</si>
  <si>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</si>
  <si>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</si>
  <si>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</si>
  <si>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</si>
  <si>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</si>
  <si>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</si>
  <si>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</si>
  <si>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</si>
  <si>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</si>
  <si>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</si>
  <si>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</si>
  <si>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</si>
  <si>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</si>
  <si>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</si>
  <si>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</si>
  <si>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</si>
  <si>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</si>
  <si>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</si>
  <si>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</si>
  <si>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</si>
  <si>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</si>
  <si>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</si>
  <si>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</si>
  <si>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</si>
  <si>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</si>
  <si>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</si>
  <si>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</si>
  <si>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</si>
  <si>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</si>
  <si>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</si>
  <si>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</si>
  <si>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</si>
  <si>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</si>
  <si>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</si>
  <si>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</si>
  <si>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</si>
  <si>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</si>
  <si>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</si>
  <si>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</si>
  <si>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</si>
  <si>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</si>
  <si>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</si>
  <si>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</si>
  <si>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</si>
  <si>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</si>
  <si>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</si>
  <si>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</si>
  <si>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</si>
  <si>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</si>
  <si>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</si>
  <si>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</si>
  <si>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</si>
  <si>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</si>
  <si>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</si>
  <si>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</si>
  <si>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</si>
  <si>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</si>
  <si>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</si>
  <si>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</si>
  <si>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</si>
  <si>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</si>
  <si>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</si>
  <si>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</si>
  <si>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</si>
  <si>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</si>
  <si>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</si>
  <si>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</si>
  <si>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</si>
  <si>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</si>
  <si>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</si>
  <si>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</si>
  <si>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</si>
  <si>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</si>
  <si>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</si>
  <si>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</si>
  <si>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</si>
  <si>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</si>
  <si>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</si>
  <si>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</si>
  <si>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</si>
  <si>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</si>
  <si>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</si>
  <si>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</si>
  <si>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</si>
  <si>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</si>
  <si>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</si>
  <si>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</si>
  <si>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</si>
  <si>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</si>
  <si>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</si>
  <si>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</si>
  <si>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</si>
  <si>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</si>
  <si>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</si>
  <si>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</si>
  <si>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</si>
  <si>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</si>
  <si>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</si>
  <si>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</si>
  <si>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</si>
  <si>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</si>
  <si>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</si>
  <si>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</si>
  <si>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</si>
  <si>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</si>
  <si>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</si>
  <si>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</si>
  <si>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</si>
  <si>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</si>
  <si>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</si>
  <si>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</si>
  <si>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</si>
  <si>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</si>
  <si>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</si>
  <si>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</si>
  <si>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</si>
  <si>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</si>
  <si>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</si>
  <si>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</si>
  <si>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</si>
  <si>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</si>
  <si>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</si>
  <si>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</si>
  <si>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</si>
  <si>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</si>
  <si>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</si>
  <si>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</si>
  <si>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</si>
  <si>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</si>
  <si>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</si>
  <si>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</si>
  <si>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</si>
  <si>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</si>
  <si>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</si>
  <si>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</si>
  <si>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</si>
  <si>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</si>
  <si>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</si>
  <si>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</si>
  <si>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</si>
  <si>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</si>
  <si>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</si>
  <si>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</si>
  <si>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</si>
  <si>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</si>
  <si>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</si>
  <si>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</si>
  <si>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</si>
  <si>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</si>
  <si>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</si>
  <si>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</si>
  <si>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</si>
  <si>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</si>
  <si>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</si>
  <si>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</si>
  <si>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</si>
  <si>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</si>
  <si>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</si>
  <si>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</si>
  <si>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</si>
  <si>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</si>
  <si>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</si>
  <si>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</si>
  <si>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</si>
  <si>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</si>
  <si>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</si>
  <si>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</si>
  <si>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</si>
  <si>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</si>
  <si>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</si>
  <si>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</si>
  <si>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</si>
  <si>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</si>
  <si>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</si>
  <si>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</si>
  <si>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</si>
  <si>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</si>
  <si>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</si>
  <si>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</si>
  <si>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</si>
  <si>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</si>
  <si>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</si>
  <si>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</si>
  <si>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</si>
  <si>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</si>
  <si>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</si>
  <si>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</si>
  <si>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</si>
  <si>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</si>
  <si>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</si>
  <si>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</si>
  <si>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</si>
  <si>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</si>
  <si>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</si>
  <si>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</si>
  <si>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</si>
  <si>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</si>
  <si>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</si>
  <si>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</si>
  <si>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</si>
  <si>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</si>
  <si>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</si>
  <si>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</si>
  <si>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</si>
  <si>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</si>
  <si>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</si>
  <si>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</si>
  <si>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</si>
  <si>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</si>
  <si>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</si>
  <si>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</si>
  <si>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</si>
  <si>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</si>
  <si>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</si>
  <si>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</si>
  <si>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</si>
  <si>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</si>
  <si>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</si>
  <si>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</si>
  <si>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</si>
  <si>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</si>
  <si>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</si>
  <si>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</si>
  <si>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</si>
  <si>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</si>
  <si>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</si>
  <si>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</si>
  <si>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</si>
  <si>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</si>
  <si>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</si>
  <si>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</si>
  <si>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</si>
  <si>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</si>
  <si>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</si>
  <si>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</si>
  <si>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</si>
  <si>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</si>
  <si>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</si>
  <si>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</si>
  <si>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</si>
  <si>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</si>
  <si>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</si>
  <si>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</si>
  <si>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</si>
  <si>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</si>
  <si>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</si>
  <si>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</si>
  <si>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</si>
  <si>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</si>
  <si>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</si>
  <si>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</si>
  <si>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</si>
  <si>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</si>
  <si>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</si>
  <si>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</si>
  <si>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</si>
  <si>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</si>
  <si>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</si>
  <si>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</si>
  <si>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</si>
  <si>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</si>
  <si>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</si>
  <si>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</si>
  <si>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</si>
  <si>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</si>
  <si>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</si>
  <si>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</si>
  <si>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</si>
  <si>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</si>
  <si>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</si>
  <si>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</si>
  <si>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</si>
  <si>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</si>
  <si>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</si>
  <si>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</si>
  <si>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</si>
  <si>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</si>
  <si>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</si>
  <si>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</si>
  <si>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</si>
  <si>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</si>
  <si>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</si>
  <si>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</si>
  <si>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</si>
  <si>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</si>
  <si>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</si>
  <si>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</si>
  <si>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</si>
  <si>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</si>
  <si>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</si>
  <si>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</si>
  <si>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</si>
  <si>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</si>
  <si>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</si>
  <si>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</si>
  <si>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</si>
  <si>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</si>
  <si>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</si>
  <si>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</si>
  <si>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</si>
  <si>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</si>
  <si>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</si>
  <si>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</si>
  <si>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</si>
  <si>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</si>
  <si>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</si>
  <si>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</si>
  <si>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</si>
  <si>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</si>
  <si>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</si>
  <si>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</si>
  <si>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</si>
  <si>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</si>
  <si>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</si>
  <si>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</si>
  <si>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</si>
  <si>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</si>
  <si>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</si>
  <si>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</si>
  <si>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</si>
  <si>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</si>
  <si>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</si>
  <si>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</si>
  <si>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</si>
  <si>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</si>
  <si>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</si>
  <si>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</si>
  <si>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</si>
  <si>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</si>
  <si>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</si>
  <si>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</si>
  <si>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</si>
  <si>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</si>
  <si>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</si>
  <si>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</si>
  <si>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</si>
  <si>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</si>
  <si>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</si>
  <si>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</si>
  <si>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</si>
  <si>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</si>
  <si>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</si>
  <si>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</si>
  <si>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</si>
  <si>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</si>
  <si>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</si>
  <si>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</si>
  <si>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</si>
  <si>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</si>
  <si>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</si>
  <si>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</si>
  <si>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</si>
  <si>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</si>
  <si>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</si>
  <si>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</si>
  <si>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</si>
  <si>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</si>
  <si>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</si>
  <si>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</si>
  <si>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</si>
  <si>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</si>
  <si>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</si>
  <si>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</si>
  <si>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</si>
  <si>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</si>
  <si>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</si>
  <si>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</si>
  <si>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</si>
  <si>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</si>
  <si>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</si>
  <si>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</si>
  <si>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</si>
  <si>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</si>
  <si>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</si>
  <si>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</si>
  <si>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</si>
  <si>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</si>
  <si>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</si>
  <si>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</si>
  <si>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</si>
  <si>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</si>
  <si>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</si>
  <si>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</si>
  <si>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</si>
  <si>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</si>
  <si>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</si>
  <si>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</si>
  <si>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</si>
  <si>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</si>
  <si>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</si>
  <si>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</si>
  <si>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</si>
  <si>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</si>
  <si>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</si>
  <si>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</si>
  <si>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</si>
  <si>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</si>
  <si>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</si>
  <si>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</si>
  <si>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</si>
  <si>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</si>
  <si>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</si>
  <si>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</si>
  <si>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</si>
  <si>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</si>
  <si>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</si>
  <si>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</si>
  <si>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</si>
  <si>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</si>
  <si>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</si>
  <si>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</si>
  <si>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</si>
  <si>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</si>
  <si>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</si>
  <si>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</si>
  <si>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</si>
  <si>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</si>
  <si>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</si>
  <si>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</si>
  <si>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</si>
  <si>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</si>
  <si>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</si>
  <si>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</si>
  <si>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</si>
  <si>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</si>
  <si>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</si>
  <si>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</si>
  <si>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</si>
  <si>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</si>
  <si>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</si>
  <si>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</si>
  <si>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</si>
  <si>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</si>
  <si>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</si>
  <si>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</si>
  <si>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</si>
  <si>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</si>
  <si>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</si>
  <si>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</si>
  <si>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</si>
  <si>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</si>
  <si>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</si>
  <si>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</si>
  <si>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</si>
  <si>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</si>
  <si>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</si>
  <si>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</si>
  <si>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</si>
  <si>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</si>
  <si>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</si>
  <si>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</si>
  <si>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</si>
  <si>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</si>
  <si>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</si>
  <si>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</si>
  <si>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</si>
  <si>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</si>
  <si>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</si>
  <si>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</si>
  <si>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</si>
  <si>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</si>
  <si>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</si>
  <si>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</si>
  <si>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</si>
  <si>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</si>
  <si>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</si>
  <si>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</si>
  <si>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</si>
  <si>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</si>
  <si>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</si>
  <si>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</si>
  <si>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</si>
  <si>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</si>
  <si>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</si>
  <si>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</si>
  <si>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</si>
  <si>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</si>
  <si>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</si>
  <si>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</si>
  <si>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</si>
  <si>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</si>
  <si>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</si>
  <si>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</si>
  <si>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</si>
  <si>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</si>
  <si>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</si>
  <si>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</si>
  <si>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</si>
  <si>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</si>
  <si>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</si>
  <si>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</si>
  <si>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</si>
  <si>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</si>
  <si>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</si>
  <si>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</si>
  <si>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</si>
  <si>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</si>
  <si>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</si>
  <si>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</si>
  <si>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</si>
  <si>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</si>
  <si>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</si>
  <si>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</si>
  <si>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</si>
  <si>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</si>
  <si>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</si>
  <si>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</si>
  <si>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</si>
  <si>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</si>
  <si>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</si>
  <si>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</si>
  <si>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</si>
  <si>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</si>
  <si>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</si>
  <si>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</si>
  <si>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</si>
  <si>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</si>
  <si>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</si>
  <si>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</si>
  <si>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</si>
  <si>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</si>
  <si>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</si>
  <si>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</si>
  <si>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</si>
  <si>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</si>
  <si>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</si>
  <si>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</si>
  <si>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</si>
  <si>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</si>
  <si>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</si>
  <si>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</si>
  <si>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</si>
  <si>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</si>
  <si>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</si>
  <si>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</si>
  <si>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</si>
  <si>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</si>
  <si>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</si>
  <si>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</si>
  <si>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</si>
  <si>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</si>
  <si>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</si>
  <si>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</si>
  <si>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</si>
  <si>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</si>
  <si>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</si>
  <si>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</si>
  <si>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</si>
  <si>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</si>
  <si>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</si>
  <si>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</si>
  <si>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</si>
  <si>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</si>
  <si>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</si>
  <si>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</si>
  <si>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</si>
  <si>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</si>
  <si>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</si>
  <si>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</si>
  <si>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</si>
  <si>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</si>
  <si>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</si>
  <si>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</si>
  <si>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</si>
  <si>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</si>
  <si>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</si>
  <si>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</si>
  <si>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</si>
  <si>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</si>
  <si>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</si>
  <si>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</si>
  <si>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</si>
  <si>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</si>
  <si>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</si>
  <si>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</si>
  <si>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</si>
  <si>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</si>
  <si>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</si>
  <si>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</si>
  <si>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</si>
  <si>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</si>
  <si>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</si>
  <si>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</si>
  <si>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</si>
  <si>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</si>
  <si>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</si>
  <si>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</si>
  <si>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</si>
  <si>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</si>
  <si>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</si>
  <si>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</si>
  <si>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</si>
  <si>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</si>
  <si>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</si>
  <si>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</si>
  <si>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</si>
  <si>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</si>
  <si>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</si>
  <si>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</si>
  <si>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</si>
  <si>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</si>
  <si>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</si>
  <si>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</si>
  <si>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</si>
  <si>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</si>
  <si>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</si>
  <si>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</si>
  <si>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</si>
  <si>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</si>
  <si>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</si>
  <si>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</si>
  <si>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</si>
  <si>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</si>
  <si>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</si>
  <si>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</si>
  <si>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</si>
  <si>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</si>
  <si>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</si>
  <si>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</si>
  <si>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</si>
  <si>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</si>
  <si>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</si>
  <si>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</si>
  <si>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</si>
  <si>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</si>
  <si>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</si>
  <si>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</si>
  <si>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</si>
  <si>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</si>
  <si>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</si>
  <si>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</si>
  <si>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</si>
  <si>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</si>
  <si>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</si>
  <si>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</si>
  <si>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</si>
  <si>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</si>
  <si>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</si>
  <si>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</si>
  <si>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</si>
  <si>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</si>
  <si>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</si>
  <si>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</si>
  <si>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</si>
  <si>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</si>
  <si>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</si>
  <si>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</si>
  <si>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</si>
  <si>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</si>
  <si>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</si>
  <si>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</si>
  <si>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</si>
  <si>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</si>
  <si>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</si>
  <si>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</si>
  <si>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</si>
  <si>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</si>
  <si>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</si>
  <si>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</si>
  <si>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</si>
  <si>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</si>
  <si>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</si>
  <si>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</si>
  <si>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</si>
  <si>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</si>
  <si>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</si>
  <si>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</si>
  <si>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</si>
  <si>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</si>
  <si>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</si>
  <si>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</si>
  <si>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</si>
  <si>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</si>
  <si>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</si>
  <si>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</si>
  <si>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</si>
  <si>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</si>
  <si>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</si>
  <si>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</si>
  <si>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</si>
  <si>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</si>
  <si>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</si>
  <si>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</si>
  <si>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</si>
  <si>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</si>
  <si>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</si>
  <si>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</si>
  <si>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</si>
  <si>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</si>
  <si>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</si>
  <si>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</si>
  <si>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</si>
  <si>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</si>
  <si>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</si>
  <si>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</si>
  <si>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</si>
  <si>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</si>
  <si>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</si>
  <si>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</si>
  <si>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</si>
  <si>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</si>
  <si>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</si>
  <si>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</si>
  <si>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</si>
  <si>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</si>
  <si>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</si>
  <si>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</si>
  <si>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</si>
  <si>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</si>
  <si>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</si>
  <si>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</si>
  <si>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</si>
  <si>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</si>
  <si>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</si>
  <si>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</si>
  <si>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</si>
  <si>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</si>
  <si>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</si>
  <si>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</si>
  <si>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</si>
  <si>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</si>
  <si>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</si>
  <si>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</si>
  <si>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</si>
  <si>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</si>
  <si>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</si>
  <si>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</si>
  <si>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</si>
  <si>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</si>
  <si>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</si>
  <si>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</si>
  <si>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</si>
  <si>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</si>
  <si>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</si>
  <si>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</si>
  <si>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</si>
  <si>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</si>
  <si>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</si>
  <si>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</si>
  <si>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</si>
  <si>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</si>
  <si>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</si>
  <si>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</si>
  <si>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</si>
  <si>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</si>
  <si>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</si>
  <si>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</si>
  <si>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</si>
  <si>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</si>
  <si>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</si>
  <si>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</si>
  <si>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</si>
  <si>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</si>
  <si>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</si>
  <si>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</si>
  <si>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</si>
  <si>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</si>
  <si>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</si>
  <si>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</si>
  <si>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</si>
  <si>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</si>
  <si>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</si>
  <si>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</si>
  <si>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</si>
  <si>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</si>
  <si>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</si>
  <si>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</si>
  <si>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</si>
  <si>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</si>
  <si>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</si>
  <si>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</si>
  <si>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</si>
  <si>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</si>
  <si>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</si>
  <si>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</si>
  <si>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</si>
  <si>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</si>
  <si>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</si>
  <si>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</si>
  <si>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</si>
  <si>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</si>
  <si>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</si>
  <si>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</si>
  <si>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</si>
  <si>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</si>
  <si>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</si>
  <si>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</si>
  <si>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</si>
  <si>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</si>
  <si>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</si>
  <si>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</si>
  <si>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</si>
  <si>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</si>
  <si>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</si>
  <si>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</si>
  <si>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</si>
  <si>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</si>
  <si>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</si>
  <si>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</si>
  <si>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</si>
  <si>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</si>
  <si>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</si>
  <si>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</si>
  <si>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</si>
  <si>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</si>
  <si>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</si>
  <si>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</si>
  <si>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</si>
  <si>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</si>
  <si>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</si>
  <si>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</si>
  <si>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</si>
  <si>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</si>
  <si>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</si>
  <si>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</si>
  <si>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</si>
  <si>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</si>
  <si>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</si>
  <si>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</si>
  <si>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</si>
  <si>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</si>
  <si>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</si>
  <si>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</si>
  <si>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</si>
  <si>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</si>
  <si>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</si>
  <si>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</si>
  <si>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</si>
  <si>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</si>
  <si>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</si>
  <si>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</si>
  <si>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</si>
  <si>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</si>
  <si>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</si>
  <si>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</si>
  <si>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</si>
  <si>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</si>
  <si>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</si>
  <si>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</si>
  <si>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</si>
  <si>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</si>
  <si>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</si>
  <si>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</si>
  <si>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</si>
  <si>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</si>
  <si>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</si>
  <si>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</si>
  <si>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</si>
  <si>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</si>
  <si>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</si>
  <si>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</si>
  <si>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</si>
  <si>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</si>
  <si>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</si>
  <si>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</si>
  <si>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</si>
  <si>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</si>
  <si>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</si>
  <si>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</si>
  <si>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</si>
  <si>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</si>
  <si>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</si>
  <si>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</si>
  <si>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</si>
  <si>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</si>
  <si>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</si>
  <si>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</si>
  <si>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</si>
  <si>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</si>
  <si>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</si>
  <si>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</si>
  <si>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</si>
  <si>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</si>
  <si>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</si>
  <si>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</si>
  <si>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</si>
  <si>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</si>
  <si>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</si>
  <si>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</si>
  <si>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</si>
  <si>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</si>
  <si>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</si>
  <si>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</si>
  <si>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</si>
  <si>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</si>
  <si>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</si>
  <si>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</si>
  <si>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</si>
  <si>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</si>
  <si>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</si>
  <si>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</si>
  <si>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</si>
  <si>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</si>
  <si>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</si>
  <si>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</si>
  <si>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</si>
  <si>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</si>
  <si>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</si>
  <si>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</si>
  <si>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</si>
  <si>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</si>
  <si>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</si>
  <si>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</si>
  <si>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</si>
  <si>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</si>
  <si>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</si>
  <si>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</si>
  <si>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</si>
  <si>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</si>
  <si>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</si>
  <si>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</si>
  <si>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</si>
  <si>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</si>
  <si>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</si>
  <si>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</si>
  <si>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</si>
  <si>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</si>
  <si>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</si>
  <si>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</si>
  <si>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</si>
  <si>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</si>
  <si>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</si>
  <si>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</si>
  <si>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</si>
  <si>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</si>
  <si>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</si>
  <si>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</si>
  <si>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</si>
  <si>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</si>
  <si>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</si>
  <si>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</si>
  <si>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</si>
  <si>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</si>
  <si>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</si>
  <si>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</si>
  <si>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</si>
  <si>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</si>
  <si>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</si>
  <si>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</si>
  <si>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</si>
  <si>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</si>
  <si>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</si>
  <si>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</si>
  <si>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</si>
  <si>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</si>
  <si>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</si>
  <si>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</si>
  <si>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</si>
  <si>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</si>
  <si>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</si>
  <si>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</si>
  <si>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</si>
  <si>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</si>
  <si>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</si>
  <si>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</si>
  <si>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</si>
  <si>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</si>
  <si>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</si>
  <si>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</si>
  <si>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</si>
  <si>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</si>
  <si>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</si>
  <si>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</si>
  <si>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</si>
  <si>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</si>
  <si>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</si>
  <si>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</si>
  <si>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</si>
  <si>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</si>
  <si>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</si>
  <si>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</si>
  <si>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</si>
  <si>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</si>
  <si>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</si>
  <si>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</si>
  <si>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</si>
  <si>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</si>
  <si>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</si>
  <si>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</si>
  <si>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</si>
  <si>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</si>
  <si>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</si>
  <si>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</si>
  <si>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</si>
  <si>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</si>
  <si>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</si>
  <si>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</si>
  <si>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</si>
  <si>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</si>
  <si>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</si>
  <si>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</si>
  <si>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</si>
  <si>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</si>
  <si>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</si>
  <si>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</si>
  <si>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</si>
  <si>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</si>
  <si>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</si>
  <si>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</si>
  <si>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</si>
  <si>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</si>
  <si>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</si>
  <si>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</si>
  <si>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</si>
  <si>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</si>
  <si>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</si>
  <si>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</si>
  <si>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</si>
  <si>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</si>
  <si>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</si>
  <si>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</si>
  <si>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</si>
  <si>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</si>
  <si>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</si>
  <si>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</si>
  <si>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</si>
  <si>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</si>
  <si>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</si>
  <si>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</si>
  <si>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</si>
  <si>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</si>
  <si>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</si>
  <si>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</si>
  <si>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</si>
  <si>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</si>
  <si>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</si>
  <si>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</si>
  <si>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</si>
  <si>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</si>
  <si>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</si>
  <si>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</si>
  <si>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</si>
  <si>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</si>
  <si>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</si>
  <si>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</si>
  <si>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</si>
  <si>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</si>
  <si>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</si>
  <si>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</si>
  <si>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</si>
  <si>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</si>
  <si>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</si>
  <si>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</si>
  <si>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</si>
  <si>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</si>
  <si>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</si>
  <si>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</si>
  <si>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</si>
  <si>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</si>
  <si>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</si>
  <si>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</si>
  <si>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</si>
  <si>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</si>
  <si>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</si>
  <si>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</si>
  <si>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</si>
  <si>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</si>
  <si>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</si>
  <si>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</si>
  <si>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</si>
  <si>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</si>
  <si>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</si>
  <si>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</si>
  <si>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</si>
  <si>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</si>
  <si>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</si>
  <si>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</si>
  <si>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</si>
  <si>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</si>
  <si>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</si>
  <si>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</si>
  <si>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</si>
  <si>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</si>
  <si>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</si>
  <si>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</si>
  <si>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</si>
  <si>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</si>
  <si>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</si>
  <si>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</si>
  <si>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</si>
  <si>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</si>
  <si>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</si>
  <si>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</si>
  <si>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</si>
  <si>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</si>
  <si>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</si>
  <si>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</si>
  <si>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</si>
  <si>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</si>
  <si>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</si>
  <si>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</si>
  <si>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</si>
  <si>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</si>
  <si>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</si>
  <si>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</si>
  <si>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</si>
  <si>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</si>
  <si>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</si>
  <si>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</si>
  <si>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</si>
  <si>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</si>
  <si>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</si>
  <si>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</si>
  <si>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</si>
  <si>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</si>
  <si>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</si>
  <si>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</si>
  <si>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</si>
  <si>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</si>
  <si>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</si>
  <si>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</si>
  <si>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</si>
  <si>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</si>
  <si>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</si>
  <si>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</si>
  <si>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</si>
  <si>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</si>
  <si>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</si>
  <si>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</si>
  <si>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</si>
  <si>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</si>
  <si>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</si>
  <si>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</si>
  <si>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</si>
  <si>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</si>
  <si>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</si>
  <si>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</si>
  <si>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</si>
  <si>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</si>
  <si>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</si>
  <si>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</si>
  <si>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</si>
  <si>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</si>
  <si>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</si>
  <si>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</si>
  <si>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</si>
  <si>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</si>
  <si>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</si>
  <si>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</si>
  <si>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</si>
  <si>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</si>
  <si>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</si>
  <si>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</si>
  <si>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</si>
  <si>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</si>
  <si>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</si>
  <si>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</si>
  <si>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</si>
  <si>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</si>
  <si>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</si>
  <si>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</si>
  <si>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</si>
  <si>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</si>
  <si>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</si>
  <si>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</si>
  <si>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</si>
  <si>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</si>
  <si>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</si>
  <si>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</si>
  <si>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</si>
  <si>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</si>
  <si>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</si>
  <si>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</si>
  <si>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</si>
  <si>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</si>
  <si>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</si>
  <si>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</si>
  <si>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</si>
  <si>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</si>
  <si>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</si>
  <si>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</si>
  <si>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</si>
  <si>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</si>
  <si>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</si>
  <si>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</si>
  <si>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</si>
  <si>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</si>
  <si>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</si>
  <si>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</si>
  <si>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</si>
  <si>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</si>
  <si>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</si>
  <si>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</si>
  <si>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</si>
  <si>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</si>
  <si>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</si>
  <si>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</si>
  <si>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</si>
  <si>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</si>
  <si>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</si>
  <si>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</si>
  <si>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</si>
  <si>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</si>
  <si>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</si>
  <si>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</si>
  <si>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</si>
  <si>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</si>
  <si>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</si>
  <si>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</si>
  <si>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</si>
  <si>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</si>
  <si>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</si>
  <si>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</si>
  <si>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</si>
  <si>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</si>
  <si>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</si>
  <si>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</si>
  <si>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</si>
  <si>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</si>
  <si>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</si>
  <si>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</si>
  <si>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</si>
  <si>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</si>
  <si>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</si>
  <si>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</si>
  <si>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</si>
  <si>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</si>
  <si>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</si>
  <si>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</si>
  <si>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</si>
  <si>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</si>
  <si>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</si>
  <si>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</si>
  <si>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</si>
  <si>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</si>
  <si>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</si>
  <si>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</si>
  <si>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</si>
  <si>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</si>
  <si>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</si>
  <si>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</si>
  <si>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</si>
  <si>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</si>
  <si>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</si>
  <si>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</si>
  <si>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</si>
  <si>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</si>
  <si>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</si>
  <si>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</si>
  <si>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</si>
  <si>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</si>
  <si>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</si>
  <si>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</si>
  <si>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</si>
  <si>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</si>
  <si>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</si>
  <si>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</si>
  <si>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</si>
  <si>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</si>
  <si>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</si>
  <si>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</si>
  <si>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</si>
  <si>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</si>
  <si>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</si>
  <si>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</si>
  <si>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</si>
  <si>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</si>
  <si>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</si>
  <si>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</si>
  <si>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</si>
  <si>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</si>
  <si>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</si>
  <si>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</si>
  <si>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</si>
  <si>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</si>
  <si>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</si>
  <si>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</si>
  <si>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</si>
  <si>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</si>
  <si>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</si>
  <si>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</si>
  <si>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</si>
  <si>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</si>
  <si>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</si>
  <si>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</si>
  <si>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</si>
  <si>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</si>
  <si>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</si>
  <si>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</si>
  <si>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</si>
  <si>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</si>
  <si>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</si>
  <si>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</si>
  <si>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</si>
  <si>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</si>
  <si>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</si>
  <si>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</si>
  <si>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</si>
  <si>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</si>
  <si>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</si>
  <si>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</si>
  <si>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</si>
  <si>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</si>
  <si>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</si>
  <si>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</si>
  <si>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</si>
  <si>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</si>
  <si>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</si>
  <si>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</si>
  <si>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</si>
  <si>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</si>
  <si>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</si>
  <si>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</si>
  <si>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</si>
  <si>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</si>
  <si>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</si>
  <si>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</si>
  <si>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</si>
  <si>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</si>
  <si>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</si>
  <si>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</si>
  <si>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</si>
  <si>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</si>
  <si>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</si>
  <si>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</si>
  <si>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</si>
  <si>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</si>
  <si>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</si>
  <si>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</si>
  <si>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</si>
  <si>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</si>
  <si>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</si>
  <si>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</si>
  <si>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</si>
  <si>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</si>
  <si>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</si>
  <si>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</si>
  <si>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</si>
  <si>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</si>
  <si>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</si>
  <si>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</si>
  <si>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</si>
  <si>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</si>
  <si>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</si>
  <si>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</si>
  <si>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</si>
  <si>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</si>
  <si>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</si>
  <si>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</si>
  <si>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</si>
  <si>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</si>
  <si>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</si>
  <si>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</si>
  <si>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</si>
  <si>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</si>
  <si>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</si>
  <si>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</si>
  <si>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</si>
  <si>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</si>
  <si>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</si>
  <si>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</si>
  <si>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</si>
  <si>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</si>
  <si>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</si>
  <si>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</si>
  <si>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</si>
  <si>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</si>
  <si>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</si>
  <si>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</si>
  <si>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</si>
  <si>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</si>
  <si>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</si>
  <si>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</si>
  <si>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</si>
  <si>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</si>
  <si>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</si>
  <si>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</si>
  <si>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</si>
  <si>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</si>
  <si>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</si>
  <si>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</si>
  <si>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</si>
  <si>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</si>
  <si>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</si>
  <si>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</si>
  <si>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</si>
  <si>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</si>
  <si>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</si>
  <si>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</si>
  <si>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</si>
  <si>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</si>
  <si>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</si>
  <si>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</si>
  <si>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</si>
  <si>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</si>
  <si>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</si>
  <si>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</si>
  <si>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</si>
  <si>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</si>
  <si>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</si>
  <si>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</si>
  <si>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</si>
  <si>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</si>
  <si>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</si>
  <si>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</si>
  <si>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</si>
  <si>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</si>
  <si>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</si>
  <si>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</si>
  <si>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</si>
  <si>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</si>
  <si>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</si>
  <si>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</si>
  <si>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</si>
  <si>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</si>
  <si>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</si>
  <si>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</si>
  <si>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</si>
  <si>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</si>
  <si>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</si>
  <si>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</si>
  <si>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</si>
  <si>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</si>
  <si>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</si>
  <si>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</si>
  <si>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</si>
  <si>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</si>
  <si>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</si>
  <si>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</si>
  <si>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</si>
  <si>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</si>
  <si>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</si>
  <si>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</si>
  <si>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</si>
  <si>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</si>
  <si>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</si>
  <si>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</si>
  <si>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</si>
  <si>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</si>
  <si>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</si>
  <si>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</si>
  <si>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</si>
  <si>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</si>
  <si>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</si>
  <si>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</si>
  <si>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</si>
  <si>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</si>
  <si>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</si>
  <si>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</si>
  <si>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</si>
  <si>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</si>
  <si>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</si>
  <si>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</si>
  <si>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</si>
  <si>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</si>
  <si>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</si>
  <si>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</si>
  <si>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</si>
  <si>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</si>
  <si>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</si>
  <si>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</si>
  <si>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</si>
  <si>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</si>
  <si>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</si>
  <si>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</si>
  <si>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</si>
  <si>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</si>
  <si>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</si>
  <si>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</si>
  <si>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</si>
  <si>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</si>
  <si>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</si>
  <si>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</si>
  <si>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</si>
  <si>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</si>
  <si>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</si>
  <si>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</si>
  <si>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</si>
  <si>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</si>
  <si>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</si>
  <si>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</si>
  <si>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</si>
  <si>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</si>
  <si>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</si>
  <si>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</si>
  <si>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</si>
  <si>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</si>
  <si>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</si>
  <si>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</si>
  <si>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</si>
  <si>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</si>
  <si>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</si>
  <si>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</si>
  <si>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</si>
  <si>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</si>
  <si>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</si>
  <si>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</si>
  <si>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</si>
  <si>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</si>
  <si>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</si>
  <si>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</si>
  <si>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</si>
  <si>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</si>
  <si>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</si>
  <si>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</si>
  <si>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</si>
  <si>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</si>
  <si>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</si>
  <si>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</si>
  <si>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</si>
  <si>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</si>
  <si>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</si>
  <si>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</si>
  <si>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</si>
  <si>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</si>
  <si>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</si>
  <si>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</si>
  <si>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</si>
  <si>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</si>
  <si>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</si>
  <si>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</si>
  <si>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</si>
  <si>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</si>
  <si>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</si>
  <si>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</si>
  <si>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</si>
  <si>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</si>
  <si>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</si>
  <si>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</si>
  <si>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</si>
  <si>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</si>
  <si>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</si>
  <si>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</si>
  <si>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</si>
  <si>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</si>
  <si>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</si>
  <si>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</si>
  <si>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</si>
  <si>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</si>
  <si>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</si>
  <si>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</si>
  <si>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</si>
  <si>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</si>
  <si>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</si>
  <si>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</si>
  <si>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</si>
  <si>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</si>
  <si>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</si>
  <si>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</si>
  <si>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</si>
  <si>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</si>
  <si>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</si>
  <si>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</si>
  <si>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</si>
  <si>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</si>
  <si>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</si>
  <si>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</si>
  <si>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</si>
  <si>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</si>
  <si>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</si>
  <si>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</si>
  <si>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</si>
  <si>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</si>
  <si>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</si>
  <si>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</si>
  <si>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</si>
  <si>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</si>
  <si>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</si>
  <si>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</si>
  <si>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</si>
  <si>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</si>
  <si>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</si>
  <si>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</si>
  <si>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</si>
  <si>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</si>
  <si>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</si>
  <si>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</si>
  <si>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</si>
  <si>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</si>
  <si>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</si>
  <si>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</si>
  <si>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</si>
  <si>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</si>
  <si>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</si>
  <si>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</si>
  <si>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</si>
  <si>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</si>
  <si>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</si>
  <si>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</si>
  <si>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</si>
  <si>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</si>
  <si>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</si>
  <si>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</si>
  <si>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</si>
  <si>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</si>
  <si>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</si>
  <si>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</si>
  <si>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</si>
  <si>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</si>
  <si>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</si>
  <si>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</si>
  <si>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</si>
  <si>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</si>
  <si>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</si>
  <si>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</si>
  <si>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</si>
  <si>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</si>
  <si>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</si>
  <si>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</si>
  <si>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</si>
  <si>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</si>
  <si>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</si>
  <si>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</si>
  <si>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</si>
  <si>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</si>
  <si>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</si>
  <si>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</si>
  <si>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</si>
  <si>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</si>
  <si>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</si>
  <si>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</si>
  <si>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</si>
  <si>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</si>
  <si>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</si>
  <si>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</si>
  <si>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</si>
  <si>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</si>
  <si>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</si>
  <si>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</si>
  <si>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</si>
  <si>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</si>
  <si>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</si>
  <si>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</si>
  <si>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</si>
  <si>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</si>
  <si>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</si>
  <si>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</si>
  <si>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</si>
  <si>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</si>
  <si>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</si>
  <si>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</si>
  <si>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</si>
  <si>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</si>
  <si>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</si>
  <si>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</si>
  <si>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</si>
  <si>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</si>
  <si>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</si>
  <si>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</si>
  <si>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</si>
  <si>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</si>
  <si>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</si>
  <si>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</si>
  <si>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</si>
  <si>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</si>
  <si>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</si>
  <si>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</si>
  <si>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</si>
  <si>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</si>
  <si>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</si>
  <si>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</si>
  <si>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</si>
  <si>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</si>
  <si>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</si>
  <si>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</si>
  <si>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</si>
  <si>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</si>
  <si>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</si>
  <si>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</si>
  <si>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</si>
  <si>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</si>
  <si>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</si>
  <si>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</si>
  <si>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</si>
  <si>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</si>
  <si>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</si>
  <si>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</si>
  <si>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</si>
  <si>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</si>
  <si>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</si>
  <si>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</si>
  <si>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</si>
  <si>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</si>
  <si>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</si>
  <si>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</si>
  <si>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</si>
  <si>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</si>
  <si>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</si>
  <si>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</si>
  <si>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</si>
  <si>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</si>
  <si>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</si>
  <si>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</si>
  <si>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</si>
  <si>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</si>
  <si>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</si>
  <si>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</si>
  <si>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</si>
  <si>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</si>
  <si>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</si>
  <si>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</si>
  <si>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</si>
  <si>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</si>
  <si>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</si>
  <si>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</si>
  <si>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</si>
  <si>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</si>
  <si>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</si>
  <si>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</si>
  <si>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</si>
  <si>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</si>
  <si>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</si>
  <si>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</si>
  <si>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</si>
  <si>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</si>
  <si>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</si>
  <si>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</si>
  <si>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</si>
  <si>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</si>
  <si>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</si>
  <si>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</si>
  <si>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</si>
  <si>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</si>
  <si>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</si>
  <si>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</si>
  <si>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</si>
  <si>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</si>
  <si>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</si>
  <si>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</si>
  <si>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</si>
  <si>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</si>
  <si>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</si>
  <si>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</si>
  <si>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</si>
  <si>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</si>
  <si>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</si>
  <si>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</si>
  <si>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</si>
  <si>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</si>
  <si>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</si>
  <si>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</si>
  <si>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</si>
  <si>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</si>
  <si>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</si>
  <si>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</si>
  <si>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</si>
  <si>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</si>
  <si>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</si>
  <si>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</si>
  <si>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</si>
  <si>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</si>
  <si>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</si>
  <si>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</si>
  <si>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</si>
  <si>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</si>
  <si>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</si>
  <si>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</si>
  <si>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</si>
  <si>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</si>
  <si>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</si>
  <si>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</si>
  <si>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</si>
  <si>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</si>
  <si>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</si>
  <si>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</si>
  <si>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</si>
  <si>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</si>
  <si>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</si>
  <si>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</si>
  <si>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</si>
  <si>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</si>
  <si>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</si>
  <si>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</si>
  <si>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</si>
  <si>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</si>
  <si>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</si>
  <si>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</si>
  <si>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</si>
  <si>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</si>
  <si>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</si>
  <si>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</si>
  <si>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</si>
  <si>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</si>
  <si>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</si>
  <si>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</si>
  <si>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</si>
  <si>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</si>
  <si>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</si>
  <si>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</si>
  <si>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</si>
  <si>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</si>
  <si>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</si>
  <si>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</si>
  <si>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</si>
  <si>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</si>
  <si>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</si>
  <si>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</si>
  <si>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</si>
  <si>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</si>
  <si>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</si>
  <si>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</si>
  <si>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</si>
  <si>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</si>
  <si>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</si>
  <si>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</si>
  <si>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</si>
  <si>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</si>
  <si>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</si>
  <si>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</si>
  <si>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</si>
  <si>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</si>
  <si>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</si>
  <si>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</si>
  <si>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</si>
  <si>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</si>
  <si>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</si>
  <si>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</si>
  <si>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</si>
  <si>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</si>
  <si>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</si>
  <si>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</si>
  <si>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</si>
  <si>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</si>
  <si>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</si>
  <si>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</si>
  <si>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</si>
  <si>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</si>
  <si>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</si>
  <si>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</si>
  <si>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</si>
  <si>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</si>
  <si>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</si>
  <si>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</si>
  <si>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</si>
  <si>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</si>
  <si>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</si>
  <si>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</si>
  <si>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</si>
  <si>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</si>
  <si>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</si>
  <si>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</si>
  <si>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</si>
  <si>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</si>
  <si>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</si>
  <si>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</si>
  <si>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</si>
  <si>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</si>
  <si>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</si>
  <si>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</si>
  <si>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</si>
  <si>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</si>
  <si>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</si>
  <si>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</si>
  <si>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</si>
  <si>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</si>
  <si>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</si>
  <si>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</si>
  <si>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</si>
  <si>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</si>
  <si>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</si>
  <si>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</si>
  <si>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</si>
  <si>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</si>
  <si>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</si>
  <si>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</si>
  <si>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</si>
  <si>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</si>
  <si>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</si>
  <si>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</si>
  <si>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</si>
  <si>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</si>
  <si>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</si>
  <si>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</si>
  <si>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</si>
  <si>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</si>
  <si>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</si>
  <si>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</si>
  <si>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</si>
  <si>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</si>
  <si>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</si>
  <si>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</si>
  <si>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</si>
  <si>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</si>
  <si>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</si>
  <si>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</si>
  <si>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</si>
  <si>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</si>
  <si>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</si>
  <si>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</si>
  <si>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</si>
  <si>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</si>
  <si>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</si>
  <si>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</si>
  <si>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</si>
  <si>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</si>
  <si>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</si>
  <si>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</si>
  <si>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</si>
  <si>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</si>
  <si>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</si>
  <si>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</si>
  <si>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</si>
  <si>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</si>
  <si>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</si>
  <si>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</si>
  <si>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</si>
  <si>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</si>
  <si>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</si>
  <si>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</si>
  <si>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</si>
  <si>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</si>
  <si>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</si>
  <si>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</si>
  <si>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</si>
  <si>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</si>
  <si>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</si>
  <si>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</si>
  <si>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</si>
  <si>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</si>
  <si>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</si>
  <si>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</si>
  <si>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</si>
  <si>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</si>
  <si>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</si>
  <si>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</si>
  <si>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</si>
  <si>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</si>
  <si>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</si>
  <si>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</si>
  <si>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</si>
  <si>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</si>
  <si>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</si>
  <si>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</si>
  <si>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</si>
  <si>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</si>
  <si>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</si>
  <si>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</si>
  <si>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</si>
  <si>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</si>
  <si>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</si>
  <si>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</si>
  <si>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</si>
  <si>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</si>
  <si>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</si>
  <si>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</si>
  <si>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</si>
  <si>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</si>
  <si>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</si>
  <si>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</si>
  <si>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</si>
  <si>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</si>
  <si>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</si>
  <si>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</si>
  <si>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</si>
  <si>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</si>
  <si>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</si>
  <si>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</si>
  <si>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</si>
  <si>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</si>
  <si>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</si>
  <si>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</si>
  <si>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</si>
  <si>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</si>
  <si>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</si>
  <si>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</si>
  <si>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</si>
  <si>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</si>
  <si>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</si>
  <si>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</si>
  <si>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</si>
  <si>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</si>
  <si>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</si>
  <si>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</si>
  <si>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</si>
  <si>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</si>
  <si>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</si>
  <si>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</si>
  <si>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</si>
  <si>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</si>
  <si>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</si>
  <si>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</si>
  <si>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</si>
  <si>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</si>
  <si>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</si>
  <si>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</si>
  <si>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</si>
  <si>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</si>
  <si>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</si>
  <si>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</si>
  <si>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</si>
  <si>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</si>
  <si>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</si>
  <si>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</si>
  <si>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</si>
  <si>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</si>
  <si>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</si>
  <si>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</si>
  <si>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</si>
  <si>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</si>
  <si>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</si>
  <si>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</si>
  <si>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</si>
  <si>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</si>
  <si>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</si>
  <si>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</si>
  <si>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</si>
  <si>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</si>
  <si>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</si>
  <si>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</si>
  <si>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</si>
  <si>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</si>
  <si>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</si>
  <si>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</si>
  <si>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</si>
  <si>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</si>
  <si>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</si>
  <si>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</si>
  <si>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</si>
  <si>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</si>
  <si>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</si>
  <si>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</si>
  <si>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</si>
  <si>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</si>
  <si>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</si>
  <si>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</si>
  <si>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</si>
  <si>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</si>
  <si>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</si>
  <si>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</si>
  <si>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</si>
  <si>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</si>
  <si>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</si>
  <si>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</si>
  <si>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</si>
  <si>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</si>
  <si>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</si>
  <si>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</si>
  <si>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</si>
  <si>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</si>
  <si>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</si>
  <si>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</si>
  <si>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</si>
  <si>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</si>
  <si>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</si>
  <si>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</si>
  <si>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</si>
  <si>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</si>
  <si>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</si>
  <si>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</si>
  <si>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</si>
  <si>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</si>
  <si>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</si>
  <si>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</si>
  <si>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</si>
  <si>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</si>
  <si>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</si>
  <si>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</si>
  <si>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</si>
  <si>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</si>
  <si>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</si>
  <si>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</si>
  <si>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</si>
  <si>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</si>
  <si>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</si>
  <si>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</si>
  <si>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</si>
  <si>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</si>
  <si>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</si>
  <si>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</si>
  <si>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</si>
  <si>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</si>
  <si>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</si>
  <si>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</si>
  <si>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</si>
  <si>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</si>
  <si>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</si>
  <si>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</si>
  <si>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</si>
  <si>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</si>
  <si>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</si>
  <si>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</si>
  <si>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</si>
  <si>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</si>
  <si>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</si>
  <si>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</si>
  <si>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</si>
  <si>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</si>
  <si>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</si>
  <si>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</si>
  <si>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</si>
  <si>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</si>
  <si>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</si>
  <si>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</si>
  <si>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</si>
  <si>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</si>
  <si>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</si>
  <si>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</si>
  <si>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</si>
  <si>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</si>
  <si>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</si>
  <si>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</si>
  <si>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</si>
  <si>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</si>
  <si>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</si>
  <si>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</si>
  <si>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</si>
  <si>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</si>
  <si>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</si>
  <si>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</si>
  <si>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</si>
  <si>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</si>
  <si>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</si>
  <si>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</si>
  <si>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</si>
  <si>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</si>
  <si>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</si>
  <si>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</si>
  <si>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</si>
  <si>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</si>
  <si>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</si>
  <si>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</si>
  <si>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</si>
  <si>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</si>
  <si>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</si>
  <si>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</si>
  <si>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</si>
  <si>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</si>
  <si>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</si>
  <si>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</si>
  <si>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</si>
  <si>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</si>
  <si>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</si>
  <si>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</si>
  <si>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</si>
  <si>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</si>
  <si>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</si>
  <si>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</si>
  <si>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</si>
  <si>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</si>
  <si>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</si>
  <si>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</si>
  <si>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</si>
  <si>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</si>
  <si>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</si>
  <si>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</si>
  <si>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</si>
  <si>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</si>
  <si>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</si>
  <si>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</si>
  <si>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</si>
  <si>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</si>
  <si>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</si>
  <si>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</si>
  <si>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</si>
  <si>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</si>
  <si>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</si>
  <si>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</si>
  <si>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</si>
  <si>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</si>
  <si>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</si>
  <si>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</si>
  <si>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</si>
  <si>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</si>
  <si>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</si>
  <si>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</si>
  <si>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</si>
  <si>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</si>
  <si>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</si>
  <si>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</si>
  <si>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</si>
  <si>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</si>
  <si>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</si>
  <si>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</si>
  <si>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</si>
  <si>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</si>
  <si>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</si>
  <si>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</si>
  <si>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</si>
  <si>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</si>
  <si>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</si>
  <si>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</si>
  <si>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</si>
  <si>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</si>
  <si>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</si>
  <si>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</si>
  <si>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</si>
  <si>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</si>
  <si>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</si>
  <si>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</si>
  <si>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</si>
  <si>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</si>
  <si>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</si>
  <si>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</si>
  <si>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</si>
  <si>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</si>
  <si>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</si>
  <si>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</si>
  <si>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</si>
  <si>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</si>
  <si>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</si>
  <si>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</si>
  <si>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</si>
  <si>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</si>
  <si>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</si>
  <si>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</si>
  <si>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</si>
  <si>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</si>
  <si>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</si>
  <si>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</si>
  <si>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</si>
  <si>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</si>
  <si>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</si>
  <si>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</si>
  <si>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</si>
  <si>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</si>
  <si>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</si>
  <si>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</si>
  <si>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</si>
  <si>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</si>
  <si>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</si>
  <si>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</si>
  <si>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</si>
  <si>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</si>
  <si>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</si>
  <si>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</si>
  <si>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</si>
  <si>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</si>
  <si>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</si>
  <si>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</si>
  <si>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</si>
  <si>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</si>
  <si>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</si>
  <si>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</si>
  <si>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</si>
  <si>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</si>
  <si>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</si>
  <si>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</si>
  <si>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</si>
  <si>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</si>
  <si>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</si>
  <si>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</si>
  <si>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</si>
  <si>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</si>
  <si>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</si>
  <si>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</si>
  <si>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</si>
  <si>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</si>
  <si>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</si>
  <si>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</si>
  <si>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</si>
  <si>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</si>
  <si>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</si>
  <si>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</si>
  <si>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</si>
  <si>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</si>
  <si>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</si>
  <si>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</si>
  <si>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</si>
  <si>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</si>
  <si>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</si>
  <si>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</si>
  <si>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</si>
  <si>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</si>
  <si>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</si>
  <si>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</si>
  <si>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</si>
  <si>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</si>
  <si>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</si>
  <si>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</si>
  <si>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</si>
  <si>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</si>
  <si>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</si>
  <si>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</si>
  <si>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</si>
  <si>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</si>
  <si>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</si>
  <si>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</si>
  <si>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</si>
  <si>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</si>
  <si>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</si>
  <si>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</si>
  <si>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</si>
  <si>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</si>
  <si>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</si>
  <si>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</si>
  <si>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</si>
  <si>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</si>
  <si>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</si>
  <si>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</si>
  <si>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</si>
  <si>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</si>
  <si>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</si>
  <si>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</si>
  <si>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</si>
  <si>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</si>
  <si>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</si>
  <si>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</si>
  <si>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</si>
  <si>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</si>
  <si>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</si>
  <si>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</si>
  <si>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</si>
  <si>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</si>
  <si>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</si>
  <si>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</si>
  <si>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</si>
  <si>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</si>
  <si>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</si>
  <si>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</si>
  <si>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</si>
  <si>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</si>
  <si>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</si>
  <si>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</si>
  <si>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</si>
  <si>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</si>
  <si>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</si>
  <si>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</si>
  <si>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</si>
  <si>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</si>
  <si>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</si>
  <si>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</si>
  <si>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</si>
  <si>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</si>
  <si>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</si>
  <si>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</si>
  <si>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</si>
  <si>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</si>
  <si>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</si>
  <si>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</si>
  <si>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</si>
  <si>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</si>
  <si>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</si>
  <si>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</si>
  <si>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</si>
  <si>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</si>
  <si>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</si>
  <si>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</si>
  <si>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</si>
  <si>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</si>
  <si>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</si>
  <si>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</si>
  <si>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</si>
  <si>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</si>
  <si>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</si>
  <si>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</si>
  <si>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</si>
  <si>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</si>
  <si>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</si>
  <si>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</si>
  <si>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</si>
  <si>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</si>
  <si>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</si>
  <si>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</si>
  <si>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</si>
  <si>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</si>
  <si>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</si>
  <si>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</si>
  <si>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</si>
  <si>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</si>
  <si>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</si>
  <si>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</si>
  <si>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</si>
  <si>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</si>
  <si>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</si>
  <si>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</si>
  <si>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</si>
  <si>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</si>
  <si>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</si>
  <si>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</si>
  <si>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</si>
  <si>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</si>
  <si>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</si>
  <si>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</si>
  <si>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</si>
  <si>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</si>
  <si>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</si>
  <si>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</si>
  <si>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</si>
  <si>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</si>
  <si>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</si>
  <si>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</si>
  <si>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</si>
  <si>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</si>
  <si>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</si>
  <si>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</si>
  <si>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</si>
  <si>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</si>
  <si>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</si>
  <si>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</si>
  <si>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</si>
  <si>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</si>
  <si>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</si>
  <si>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</si>
  <si>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</si>
  <si>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</si>
  <si>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</si>
  <si>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</si>
  <si>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</si>
  <si>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</si>
  <si>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</si>
  <si>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</si>
  <si>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</si>
  <si>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</si>
  <si>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</si>
  <si>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</si>
  <si>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</si>
  <si>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</si>
  <si>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</si>
  <si>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</si>
  <si>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</si>
  <si>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</si>
  <si>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</si>
  <si>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</si>
  <si>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</si>
  <si>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</si>
  <si>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</si>
  <si>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</si>
  <si>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</si>
  <si>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</si>
  <si>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</si>
  <si>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</si>
  <si>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</si>
  <si>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</si>
  <si>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</si>
  <si>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</si>
  <si>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</si>
  <si>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</si>
  <si>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</si>
  <si>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</si>
  <si>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</si>
  <si>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</si>
  <si>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</si>
  <si>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</si>
  <si>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</si>
  <si>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</si>
  <si>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</si>
  <si>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</si>
  <si>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</si>
  <si>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</si>
  <si>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</si>
  <si>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</si>
  <si>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</si>
  <si>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</si>
  <si>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</si>
  <si>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</si>
  <si>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</si>
  <si>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</si>
  <si>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</si>
  <si>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</si>
  <si>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</si>
  <si>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</si>
  <si>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</si>
  <si>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</si>
  <si>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</si>
  <si>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</si>
  <si>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</si>
  <si>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</si>
  <si>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</si>
  <si>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</si>
  <si>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</si>
  <si>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</si>
  <si>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</si>
  <si>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</si>
  <si>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</si>
  <si>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</si>
  <si>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</si>
  <si>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</si>
  <si>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</si>
  <si>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</si>
  <si>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</si>
  <si>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</si>
  <si>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</si>
  <si>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</si>
  <si>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</si>
  <si>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</si>
  <si>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</si>
  <si>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</si>
  <si>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</si>
  <si>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</si>
  <si>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</si>
  <si>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</si>
  <si>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</si>
  <si>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</si>
  <si>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</si>
  <si>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</si>
  <si>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</si>
  <si>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</si>
  <si>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</si>
  <si>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</si>
  <si>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</si>
  <si>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</si>
  <si>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</si>
  <si>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</si>
  <si>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</si>
  <si>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</si>
  <si>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</si>
  <si>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</si>
  <si>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</si>
  <si>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</si>
  <si>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</si>
  <si>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</si>
  <si>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</si>
  <si>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</si>
  <si>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</si>
  <si>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</si>
  <si>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</si>
  <si>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</si>
  <si>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</si>
  <si>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</si>
  <si>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</si>
  <si>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</si>
  <si>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</si>
  <si>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</si>
  <si>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</si>
  <si>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</si>
  <si>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</si>
  <si>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</si>
  <si>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</si>
  <si>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</si>
  <si>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</si>
  <si>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</si>
  <si>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</si>
  <si>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</si>
  <si>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</si>
  <si>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</si>
  <si>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</si>
  <si>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</si>
  <si>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</si>
  <si>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</si>
  <si>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</si>
  <si>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</si>
  <si>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</si>
  <si>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</si>
  <si>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</si>
  <si>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</si>
  <si>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</si>
  <si>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</si>
  <si>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</si>
  <si>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</si>
  <si>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</si>
  <si>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</si>
  <si>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</si>
  <si>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</si>
  <si>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</si>
  <si>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</si>
  <si>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</si>
  <si>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</si>
  <si>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</si>
  <si>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</si>
  <si>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</si>
  <si>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</si>
  <si>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</si>
  <si>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</si>
  <si>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</si>
  <si>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</si>
  <si>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</si>
  <si>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</si>
  <si>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</si>
  <si>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</si>
  <si>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</si>
  <si>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</si>
  <si>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</si>
  <si>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</si>
  <si>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</si>
  <si>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</si>
  <si>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</si>
  <si>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</si>
  <si>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</si>
  <si>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</si>
  <si>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</si>
  <si>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</si>
  <si>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</si>
  <si>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</si>
  <si>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</si>
  <si>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</si>
  <si>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</si>
  <si>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</si>
  <si>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</si>
  <si>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</si>
  <si>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</si>
  <si>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</si>
  <si>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</si>
  <si>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</si>
  <si>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</si>
  <si>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</si>
  <si>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</si>
  <si>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</si>
  <si>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</si>
  <si>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</si>
  <si>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</si>
  <si>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</si>
  <si>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</si>
  <si>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</si>
  <si>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</si>
  <si>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</si>
  <si>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</si>
  <si>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</si>
  <si>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</si>
  <si>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</si>
  <si>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</si>
  <si>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</si>
  <si>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</si>
  <si>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</si>
  <si>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</si>
  <si>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</si>
  <si>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</si>
  <si>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</si>
  <si>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</si>
  <si>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</si>
  <si>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</si>
  <si>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</si>
  <si>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</si>
  <si>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</si>
  <si>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</si>
  <si>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</si>
  <si>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</si>
  <si>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</si>
  <si>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</si>
  <si>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</si>
  <si>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</si>
  <si>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</si>
  <si>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</si>
  <si>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</si>
  <si>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</si>
  <si>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</si>
  <si>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</si>
  <si>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</si>
  <si>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</si>
  <si>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</si>
  <si>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</si>
  <si>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</si>
  <si>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</si>
  <si>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</si>
  <si>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</si>
  <si>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</si>
  <si>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</si>
  <si>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</si>
  <si>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</si>
  <si>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</si>
  <si>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</si>
  <si>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</si>
  <si>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</si>
  <si>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</si>
  <si>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</si>
  <si>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</si>
  <si>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</si>
  <si>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</si>
  <si>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</si>
  <si>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</si>
  <si>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</si>
  <si>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</si>
  <si>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</si>
  <si>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</si>
  <si>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</si>
  <si>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</si>
  <si>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</si>
  <si>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</si>
  <si>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</si>
  <si>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</si>
  <si>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</si>
  <si>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</si>
  <si>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</si>
  <si>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</si>
  <si>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</si>
  <si>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</si>
  <si>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</si>
  <si>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</si>
  <si>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</si>
  <si>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</si>
  <si>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</si>
  <si>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</si>
  <si>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</si>
  <si>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</si>
  <si>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</si>
  <si>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</si>
  <si>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</si>
  <si>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</si>
  <si>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</si>
  <si>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</si>
  <si>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</si>
  <si>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</si>
  <si>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</si>
  <si>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</si>
  <si>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</si>
  <si>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</si>
  <si>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</si>
  <si>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</si>
  <si>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</si>
  <si>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</si>
  <si>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</si>
  <si>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</si>
  <si>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</si>
  <si>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</si>
  <si>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</si>
  <si>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</si>
  <si>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</si>
  <si>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</si>
  <si>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</si>
  <si>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</si>
  <si>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</si>
  <si>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</si>
  <si>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</si>
  <si>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</si>
  <si>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</si>
  <si>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</si>
  <si>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</si>
  <si>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</si>
  <si>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</si>
  <si>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</si>
  <si>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</si>
  <si>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</si>
  <si>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</si>
  <si>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</si>
  <si>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</si>
  <si>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</si>
  <si>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</si>
  <si>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</si>
  <si>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</si>
  <si>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</si>
  <si>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</si>
  <si>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</si>
  <si>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</si>
  <si>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</si>
  <si>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</si>
  <si>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</si>
  <si>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</si>
  <si>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</si>
  <si>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</si>
  <si>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</si>
  <si>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</si>
  <si>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</si>
  <si>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</si>
  <si>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</si>
  <si>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</si>
  <si>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</si>
  <si>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</si>
  <si>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</si>
  <si>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</si>
  <si>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</si>
  <si>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</si>
  <si>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</si>
  <si>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</si>
  <si>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</si>
  <si>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</si>
  <si>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</si>
  <si>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</si>
  <si>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</si>
  <si>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</si>
  <si>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</si>
  <si>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</si>
  <si>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</si>
  <si>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</si>
  <si>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</si>
  <si>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</si>
  <si>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</si>
  <si>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</si>
  <si>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</si>
  <si>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</si>
  <si>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</si>
  <si>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</si>
  <si>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</si>
  <si>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</si>
  <si>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</si>
  <si>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</si>
  <si>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</si>
  <si>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</si>
  <si>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</si>
  <si>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</si>
  <si>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</si>
  <si>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</si>
  <si>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</si>
  <si>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</si>
  <si>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</si>
  <si>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</si>
  <si>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</si>
  <si>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</si>
  <si>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</si>
  <si>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</si>
  <si>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</si>
  <si>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</si>
  <si>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</si>
  <si>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</si>
  <si>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</si>
  <si>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</si>
  <si>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</si>
  <si>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</si>
  <si>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</si>
  <si>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</si>
  <si>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</si>
  <si>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</si>
  <si>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</si>
  <si>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</si>
  <si>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</si>
  <si>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</si>
  <si>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</si>
  <si>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</si>
  <si>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</si>
  <si>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</si>
  <si>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</si>
  <si>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</si>
  <si>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</si>
  <si>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</si>
  <si>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</si>
  <si>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</si>
  <si>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</si>
  <si>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</si>
  <si>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</si>
  <si>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</si>
  <si>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</si>
  <si>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</si>
  <si>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</si>
  <si>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</si>
  <si>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</si>
  <si>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</si>
  <si>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</si>
  <si>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</si>
  <si>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</si>
  <si>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</si>
  <si>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</si>
  <si>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</si>
  <si>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</si>
  <si>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</si>
  <si>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</si>
  <si>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</si>
  <si>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</si>
  <si>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</si>
  <si>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</si>
  <si>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</si>
  <si>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</si>
  <si>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</si>
  <si>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</si>
  <si>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</si>
  <si>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</si>
  <si>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</si>
  <si>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</si>
  <si>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</si>
  <si>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</si>
  <si>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</si>
  <si>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</si>
  <si>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</si>
  <si>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</si>
  <si>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</si>
  <si>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</si>
  <si>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</si>
  <si>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</si>
  <si>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</si>
  <si>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</si>
  <si>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</si>
  <si>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</si>
  <si>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</si>
  <si>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</si>
  <si>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</si>
  <si>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</si>
  <si>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</si>
  <si>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</si>
  <si>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</si>
  <si>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</si>
  <si>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</si>
  <si>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</si>
  <si>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</si>
  <si>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</si>
  <si>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</si>
  <si>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</si>
  <si>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</si>
  <si>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</si>
  <si>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</si>
  <si>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</si>
  <si>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</si>
  <si>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</si>
  <si>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</si>
  <si>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</si>
  <si>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</si>
  <si>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</si>
  <si>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</si>
  <si>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</si>
  <si>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</si>
  <si>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</si>
  <si>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</si>
  <si>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</si>
  <si>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</si>
  <si>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</si>
  <si>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</si>
  <si>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</si>
  <si>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</si>
  <si>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</si>
  <si>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</si>
  <si>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</si>
  <si>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</si>
  <si>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</si>
  <si>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</si>
  <si>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</si>
  <si>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</si>
  <si>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</si>
  <si>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</si>
  <si>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</si>
  <si>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</si>
  <si>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</si>
  <si>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</si>
  <si>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</si>
  <si>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</si>
  <si>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</si>
  <si>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</si>
  <si>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</si>
  <si>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</si>
  <si>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</si>
  <si>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</si>
  <si>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</si>
  <si>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</si>
  <si>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</si>
  <si>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</si>
  <si>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</si>
  <si>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</si>
  <si>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</si>
  <si>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</si>
  <si>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</si>
  <si>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</si>
  <si>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</si>
  <si>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</si>
  <si>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</si>
  <si>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</si>
  <si>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</si>
  <si>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</si>
  <si>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</si>
  <si>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</si>
  <si>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</si>
  <si>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</si>
  <si>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</si>
  <si>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</si>
  <si>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</si>
  <si>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</si>
  <si>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</si>
  <si>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</si>
  <si>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</si>
  <si>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</si>
  <si>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</si>
  <si>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</si>
  <si>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</si>
  <si>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</si>
  <si>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</si>
  <si>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</si>
  <si>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</si>
  <si>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</si>
  <si>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</si>
  <si>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</si>
  <si>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</si>
  <si>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</si>
  <si>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</si>
  <si>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</si>
  <si>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</si>
  <si>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</si>
  <si>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</si>
  <si>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</si>
  <si>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</si>
  <si>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</si>
  <si>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</si>
  <si>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</si>
  <si>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</si>
  <si>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</si>
  <si>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</si>
  <si>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</si>
  <si>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</si>
  <si>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</si>
  <si>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</si>
  <si>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</si>
  <si>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</si>
  <si>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</si>
  <si>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</si>
  <si>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</si>
  <si>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</si>
  <si>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</si>
  <si>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</si>
  <si>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</si>
  <si>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</si>
  <si>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</si>
  <si>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</si>
  <si>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</si>
  <si>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</si>
  <si>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</si>
  <si>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</si>
  <si>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</si>
  <si>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</si>
  <si>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</si>
  <si>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</si>
  <si>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</si>
  <si>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</si>
  <si>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</si>
  <si>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</si>
  <si>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</si>
  <si>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</si>
  <si>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</si>
  <si>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</si>
  <si>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</si>
  <si>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</si>
  <si>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</si>
  <si>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</si>
  <si>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</si>
  <si>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</si>
  <si>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</si>
  <si>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</si>
  <si>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</si>
  <si>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</si>
  <si>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</si>
  <si>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</si>
  <si>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</si>
  <si>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</si>
  <si>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</si>
  <si>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</si>
  <si>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</si>
  <si>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</si>
  <si>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</si>
  <si>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</si>
  <si>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</si>
  <si>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</si>
  <si>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</si>
  <si>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</si>
  <si>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</si>
  <si>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</si>
  <si>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</si>
  <si>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</si>
  <si>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</si>
  <si>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</si>
  <si>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</si>
  <si>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</si>
  <si>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</si>
  <si>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</si>
  <si>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</si>
  <si>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</si>
  <si>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</si>
  <si>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</si>
  <si>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</si>
  <si>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</si>
  <si>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</si>
  <si>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</si>
  <si>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</si>
  <si>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</si>
  <si>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</si>
  <si>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</si>
  <si>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</si>
  <si>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</si>
  <si>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</si>
  <si>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</si>
  <si>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</si>
  <si>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</si>
  <si>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</si>
  <si>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</si>
  <si>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</si>
  <si>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</si>
  <si>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</si>
  <si>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</si>
  <si>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</si>
  <si>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</si>
  <si>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</si>
  <si>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</si>
  <si>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</si>
  <si>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</si>
  <si>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</si>
  <si>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</si>
  <si>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</si>
  <si>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</si>
  <si>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</si>
  <si>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</si>
  <si>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</si>
  <si>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</si>
  <si>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</si>
  <si>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</si>
  <si>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</si>
  <si>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</si>
  <si>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</si>
  <si>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</si>
  <si>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</si>
  <si>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</si>
  <si>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</si>
  <si>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</si>
  <si>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</si>
  <si>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</si>
  <si>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</si>
  <si>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</si>
  <si>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</si>
  <si>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</si>
  <si>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</si>
  <si>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</si>
  <si>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</si>
  <si>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</si>
  <si>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</si>
  <si>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</si>
  <si>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</si>
  <si>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</si>
  <si>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</si>
  <si>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</si>
  <si>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</si>
  <si>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</si>
  <si>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</si>
  <si>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</si>
  <si>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</si>
  <si>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</si>
  <si>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</si>
  <si>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</si>
  <si>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</si>
  <si>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</si>
  <si>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</si>
  <si>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</si>
  <si>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</si>
  <si>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</si>
  <si>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</si>
  <si>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</si>
  <si>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</si>
  <si>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</si>
  <si>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</si>
  <si>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</si>
  <si>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</si>
  <si>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</si>
  <si>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</si>
  <si>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</si>
  <si>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</si>
  <si>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</si>
  <si>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</si>
  <si>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</si>
  <si>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</si>
  <si>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</si>
  <si>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</si>
  <si>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</si>
  <si>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</si>
  <si>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</si>
  <si>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</si>
  <si>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</si>
  <si>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</si>
  <si>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</si>
  <si>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</si>
  <si>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</si>
  <si>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</si>
  <si>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</si>
  <si>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</si>
  <si>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</si>
  <si>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</si>
  <si>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</si>
  <si>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</si>
  <si>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</si>
  <si>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</si>
  <si>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</si>
  <si>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</si>
  <si>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Micro Crystal AG</t>
  </si>
  <si>
    <t>48-498-2736</t>
  </si>
  <si>
    <t>DUNS Number</t>
  </si>
  <si>
    <t xml:space="preserve">Muehlestrasse 14, CH-2540 Grenchen, Switzerland      </t>
  </si>
  <si>
    <t>Fritz Burkhalter</t>
  </si>
  <si>
    <t>fritz.burkhalter@microcrystal.ch</t>
  </si>
  <si>
    <t>+41 32 655 70 88</t>
  </si>
  <si>
    <t>Quality Manager</t>
  </si>
  <si>
    <t>VA-1101 (Principles of Conduct)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</si>
</sst>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168"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4" fontId="12" fillId="0" borderId="0" applyFont="0" applyFill="0" applyBorder="0" applyAlignment="0" applyProtection="0"/>
    <xf numFmtId="172" fontId="12" fillId="0" borderId="0" applyFont="0" applyFill="0" applyBorder="0" applyAlignment="0" applyProtection="0"/>
    <xf numFmtId="174" fontId="12" fillId="0" borderId="0" applyFont="0" applyFill="0" applyBorder="0" applyAlignment="0" applyProtection="0"/>
    <xf numFmtId="178"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70" fontId="3" fillId="0" borderId="0"/>
    <xf numFmtId="0" fontId="84" fillId="0" borderId="0"/>
    <xf numFmtId="0" fontId="84" fillId="0" borderId="0"/>
    <xf numFmtId="17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70" fontId="3" fillId="0" borderId="0"/>
    <xf numFmtId="0" fontId="9" fillId="0" borderId="0"/>
    <xf numFmtId="170" fontId="84" fillId="0" borderId="0"/>
    <xf numFmtId="0" fontId="4" fillId="0" borderId="0"/>
    <xf numFmtId="0" fontId="4" fillId="0" borderId="0"/>
    <xf numFmtId="170" fontId="9" fillId="0" borderId="0"/>
    <xf numFmtId="0" fontId="4" fillId="0" borderId="0"/>
    <xf numFmtId="0" fontId="9" fillId="0" borderId="0"/>
    <xf numFmtId="0" fontId="4" fillId="0" borderId="0"/>
    <xf numFmtId="0" fontId="68" fillId="0" borderId="0">
      <alignment vertical="center"/>
    </xf>
    <xf numFmtId="170"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70" fontId="3" fillId="0" borderId="0"/>
    <xf numFmtId="170"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70" fontId="12" fillId="0" borderId="0"/>
    <xf numFmtId="0" fontId="84" fillId="0" borderId="0"/>
    <xf numFmtId="0" fontId="84" fillId="0" borderId="0"/>
    <xf numFmtId="0" fontId="84" fillId="0" borderId="0"/>
    <xf numFmtId="170"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42">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71"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70" fontId="0" fillId="45" borderId="13" xfId="0" applyNumberFormat="1" applyFont="1" applyFill="1" applyBorder="1" applyAlignment="1">
      <alignment vertical="top" wrapText="1"/>
    </xf>
    <xf numFmtId="170" fontId="0" fillId="45" borderId="0" xfId="0" applyNumberFormat="1" applyFont="1" applyFill="1" applyBorder="1" applyAlignment="1"/>
    <xf numFmtId="170" fontId="11" fillId="45" borderId="0" xfId="0" applyNumberFormat="1" applyFont="1" applyFill="1" applyBorder="1"/>
    <xf numFmtId="170" fontId="0" fillId="45" borderId="0" xfId="0" applyNumberFormat="1" applyFont="1" applyFill="1" applyBorder="1"/>
    <xf numFmtId="170" fontId="0" fillId="0" borderId="0" xfId="0" applyNumberFormat="1" applyFont="1" applyFill="1" applyBorder="1"/>
    <xf numFmtId="170"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70"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70"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70"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70"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70"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70"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70"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49" fontId="79" fillId="45" borderId="58" xfId="492" applyNumberFormat="1" applyFont="1" applyFill="1" applyBorder="1" applyAlignment="1" applyProtection="1">
      <alignment horizontal="left" vertical="center" wrapText="1"/>
      <protection locked="0" hidden="1"/>
    </xf>
    <xf numFmtId="49" fontId="80" fillId="45" borderId="11" xfId="0" applyNumberFormat="1" applyFont="1" applyFill="1" applyBorder="1" applyAlignment="1" applyProtection="1">
      <alignment horizontal="left" vertical="center" wrapText="1"/>
      <protection locked="0" hidden="1"/>
    </xf>
    <xf numFmtId="49" fontId="80" fillId="45" borderId="33" xfId="0" applyNumberFormat="1" applyFont="1" applyFill="1" applyBorder="1" applyAlignment="1" applyProtection="1">
      <alignment horizontal="left" vertical="center" wrapText="1"/>
      <protection locked="0"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7" fillId="45" borderId="58" xfId="0" quotePrefix="1" applyFont="1" applyFill="1" applyBorder="1" applyAlignment="1" applyProtection="1">
      <alignment horizontal="left" vertical="center" wrapText="1"/>
      <protection locked="0"/>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vertical="center"/>
      <protection locked="0"/>
    </xf>
    <xf numFmtId="49" fontId="17" fillId="45" borderId="58" xfId="0" applyNumberFormat="1" applyFont="1" applyFill="1" applyBorder="1" applyAlignment="1" applyProtection="1">
      <alignment horizontal="left" vertical="center" wrapText="1"/>
      <protection locked="0" hidden="1"/>
    </xf>
    <xf numFmtId="49" fontId="17" fillId="45" borderId="11" xfId="0" applyNumberFormat="1" applyFont="1" applyFill="1" applyBorder="1" applyAlignment="1" applyProtection="1">
      <alignment horizontal="left" vertical="center" wrapText="1"/>
      <protection locked="0" hidden="1"/>
    </xf>
    <xf numFmtId="49" fontId="17" fillId="45" borderId="33" xfId="0" applyNumberFormat="1" applyFont="1" applyFill="1" applyBorder="1" applyAlignment="1" applyProtection="1">
      <alignment horizontal="left" vertical="center" wrapText="1"/>
      <protection locked="0" hidden="1"/>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71" fontId="16" fillId="45" borderId="31" xfId="0" applyNumberFormat="1" applyFont="1" applyFill="1" applyBorder="1" applyAlignment="1" applyProtection="1">
      <alignment horizontal="center" wrapText="1"/>
      <protection locked="0"/>
    </xf>
    <xf numFmtId="171"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cellStyle name="Bad 2 2" xfId="621"/>
    <cellStyle name="Bad 3" xfId="31"/>
    <cellStyle name="Bad 3 2" xfId="622"/>
    <cellStyle name="Berechnung" xfId="681" builtinId="22" customBuiltin="1"/>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ingabe" xfId="679" builtinId="20" customBuiltin="1"/>
    <cellStyle name="Ergebnis" xfId="686" builtinId="25" customBuiltin="1"/>
    <cellStyle name="Erklärender Text" xfId="685" builtinId="53" customBuiltin="1"/>
    <cellStyle name="Excel Built-in Normal" xfId="485"/>
    <cellStyle name="Explanatory Text 2" xfId="486"/>
    <cellStyle name="Good 2" xfId="487"/>
    <cellStyle name="Good 2 2" xfId="625"/>
    <cellStyle name="Gut" xfId="676" builtinId="26" customBuiltin="1"/>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xfId="678" builtinId="28" customBuiltin="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chlecht" xfId="677" builtinId="27" customBuiltin="1"/>
    <cellStyle name="Standard" xfId="0" builtinId="0"/>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cellStyle name="Zelle überprüfen" xfId="683" builtinId="23" customBuiltin="1"/>
    <cellStyle name="표준 2" xfId="592"/>
    <cellStyle name="一般 7" xfId="593"/>
    <cellStyle name="標準 2" xfId="594"/>
    <cellStyle name="標準 2 2" xfId="595"/>
    <cellStyle name="標準 2 3" xfId="596"/>
  </cellStyles>
  <dxfs count="93">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workbookViewId="0"/>
  </sheetViews>
  <sheetFormatPr baseColWidth="10"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baseColWidth="10"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baseColWidth="10" defaultColWidth="9"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baseColWidth="10"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35">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workbookViewId="0">
      <selection activeCell="D79" sqref="D79:E79"/>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7"/>
      <c r="B1" s="388"/>
      <c r="C1" s="388"/>
      <c r="D1" s="388"/>
      <c r="E1" s="388"/>
      <c r="F1" s="388"/>
      <c r="G1" s="388"/>
      <c r="H1" s="388"/>
      <c r="I1" s="388"/>
      <c r="J1" s="388"/>
      <c r="K1" s="38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90" t="str">
        <f ca="1">OFFSET(L!$C$1,MATCH("Declaration"&amp;ADDRESS(ROW(),COLUMN(),4),L!$A:$A,0)-1,SL,,)</f>
        <v>Cobalt Reporting Template (CRT)</v>
      </c>
      <c r="E2" s="391"/>
      <c r="F2" s="391"/>
      <c r="G2" s="391"/>
      <c r="H2" s="391"/>
      <c r="I2" s="391"/>
      <c r="J2" s="39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75">
      <c r="A4" s="33"/>
      <c r="B4" s="396" t="str">
        <f ca="1">OFFSET(L!$C$1,MATCH("Declaration"&amp;ADDRESS(ROW(),COLUMN(),4),L!$A:$A,0)-1,SL,,)</f>
        <v>The purpose of this document is to collect sourcing information on cobalt.</v>
      </c>
      <c r="C4" s="396"/>
      <c r="D4" s="396"/>
      <c r="E4" s="396"/>
      <c r="F4" s="396"/>
      <c r="G4" s="396"/>
      <c r="H4" s="396"/>
      <c r="I4" s="404" t="str">
        <f ca="1">OFFSET(L!$C$1,MATCH("Declaration"&amp;ADDRESS(ROW(),COLUMN(),4),L!$A:$A,0)-1,SL,,)</f>
        <v>Link to Terms &amp; Conditions</v>
      </c>
      <c r="J4" s="40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6" t="str">
        <f ca="1">OFFSET(L!$C$1,MATCH("Declaration"&amp;ADDRESS(ROW(),COLUMN(),4),L!$A:$A,0)-1,SL,,)</f>
        <v>Mandatory fields are noted with an asterisk (*).  Consult the instructions tab for guidance on how to answer each question.</v>
      </c>
      <c r="C6" s="396"/>
      <c r="D6" s="396"/>
      <c r="E6" s="396"/>
      <c r="F6" s="396"/>
      <c r="G6" s="396"/>
      <c r="H6" s="396"/>
      <c r="I6" s="396"/>
      <c r="J6" s="396"/>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05" t="str">
        <f ca="1">OFFSET(L!$C$1,MATCH("Declaration"&amp;ADDRESS(ROW(),COLUMN(),4),L!$A:$A,0)-1,SL,,)</f>
        <v>Company Information</v>
      </c>
      <c r="C7" s="405"/>
      <c r="D7" s="405"/>
      <c r="E7" s="405"/>
      <c r="F7" s="405"/>
      <c r="G7" s="405"/>
      <c r="H7" s="405"/>
      <c r="I7" s="405"/>
      <c r="J7" s="405"/>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3" t="s">
        <v>14060</v>
      </c>
      <c r="E8" s="394"/>
      <c r="F8" s="394"/>
      <c r="G8" s="394"/>
      <c r="H8" s="394"/>
      <c r="I8" s="394"/>
      <c r="J8" s="395"/>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20" t="s">
        <v>377</v>
      </c>
      <c r="E9" s="421"/>
      <c r="F9" s="421"/>
      <c r="G9" s="422"/>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06" t="str">
        <f ca="1">OFFSET(L!$C$1,MATCH("Declaration"&amp;ADDRESS(ROW(),COLUMN(),4)&amp;LEFT($D$9,1),L!$A:$A,0)-1,SL,,)</f>
        <v>Description of Scope:</v>
      </c>
      <c r="C10" s="132"/>
      <c r="D10" s="397"/>
      <c r="E10" s="398"/>
      <c r="F10" s="398"/>
      <c r="G10" s="398"/>
      <c r="H10" s="398"/>
      <c r="I10" s="398"/>
      <c r="J10" s="399"/>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7"/>
      <c r="C11" s="132"/>
      <c r="D11" s="408" t="str">
        <f ca="1">IF(D9=Q9,OFFSET(L!$C$1,MATCH("Declaration"&amp;ADDRESS(ROW(),COLUMN(),4),L!$A:$A,0)-1,SL,,),"")</f>
        <v/>
      </c>
      <c r="E11" s="409"/>
      <c r="F11" s="409"/>
      <c r="G11" s="409"/>
      <c r="H11" s="409"/>
      <c r="I11" s="409"/>
      <c r="J11" s="410"/>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401" t="s">
        <v>14061</v>
      </c>
      <c r="E12" s="402"/>
      <c r="F12" s="402"/>
      <c r="G12" s="402"/>
      <c r="H12" s="402"/>
      <c r="I12" s="402"/>
      <c r="J12" s="403"/>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401" t="s">
        <v>14062</v>
      </c>
      <c r="E13" s="402"/>
      <c r="F13" s="402"/>
      <c r="G13" s="402"/>
      <c r="H13" s="402"/>
      <c r="I13" s="402"/>
      <c r="J13" s="403"/>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3" t="s">
        <v>14063</v>
      </c>
      <c r="E14" s="400"/>
      <c r="F14" s="400"/>
      <c r="G14" s="400"/>
      <c r="H14" s="400"/>
      <c r="I14" s="400"/>
      <c r="J14" s="374"/>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5" t="s">
        <v>14064</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5" t="s">
        <v>14065</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5" t="s">
        <v>14066</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5" t="s">
        <v>14064</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5" t="s">
        <v>14067</v>
      </c>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8" t="s">
        <v>14065</v>
      </c>
      <c r="E20" s="379"/>
      <c r="F20" s="379"/>
      <c r="G20" s="379"/>
      <c r="H20" s="379"/>
      <c r="I20" s="379"/>
      <c r="J20" s="380"/>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81" t="s">
        <v>14066</v>
      </c>
      <c r="E21" s="382"/>
      <c r="F21" s="382"/>
      <c r="G21" s="382"/>
      <c r="H21" s="382"/>
      <c r="I21" s="382"/>
      <c r="J21" s="383"/>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23">
        <v>44243</v>
      </c>
      <c r="E22" s="424"/>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19"/>
      <c r="E23" s="41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16" t="str">
        <f ca="1">OFFSET(L!$C$1,MATCH("Declaration"&amp;ADDRESS(ROW(),COLUMN(),4),L!$A:$A,0)-1,SL,,)</f>
        <v>Answer</v>
      </c>
      <c r="E25" s="41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3" t="s">
        <v>371</v>
      </c>
      <c r="E26" s="374"/>
      <c r="F26" s="10"/>
      <c r="G26" s="362"/>
      <c r="H26" s="363"/>
      <c r="I26" s="363"/>
      <c r="J26" s="364"/>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6" t="str">
        <f ca="1">D25</f>
        <v>Answer</v>
      </c>
      <c r="E31" s="386"/>
      <c r="F31" s="16"/>
      <c r="G31" s="43" t="str">
        <f ca="1">G25</f>
        <v>Comments</v>
      </c>
      <c r="H31" s="418"/>
      <c r="I31" s="418"/>
      <c r="J31" s="418"/>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3" t="s">
        <v>372</v>
      </c>
      <c r="E32" s="374"/>
      <c r="F32" s="46"/>
      <c r="G32" s="362"/>
      <c r="H32" s="363"/>
      <c r="I32" s="363"/>
      <c r="J32" s="364"/>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386" t="str">
        <f ca="1">D25</f>
        <v>Answer</v>
      </c>
      <c r="E37" s="386"/>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3" t="s">
        <v>371</v>
      </c>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6" t="str">
        <f ca="1">D25</f>
        <v>Answer</v>
      </c>
      <c r="E43" s="386"/>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1">
        <v>1</v>
      </c>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86" t="str">
        <f ca="1">D25</f>
        <v>Answer</v>
      </c>
      <c r="E49" s="386"/>
      <c r="F49" s="16"/>
      <c r="G49" s="43" t="str">
        <f ca="1">G25</f>
        <v>Comments</v>
      </c>
      <c r="H49" s="384"/>
      <c r="I49" s="384"/>
      <c r="J49" s="384"/>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11" t="s">
        <v>371</v>
      </c>
      <c r="E50" s="412"/>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86" t="str">
        <f ca="1">D25</f>
        <v>Answer</v>
      </c>
      <c r="E55" s="386"/>
      <c r="F55" s="16"/>
      <c r="G55" s="43" t="str">
        <f ca="1">G25</f>
        <v>Comments</v>
      </c>
      <c r="H55" s="384" t="str">
        <f>IF(Q63="(*)","Click here to enter smelter names","")</f>
        <v/>
      </c>
      <c r="I55" s="384"/>
      <c r="J55" s="384"/>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3" t="s">
        <v>371</v>
      </c>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28" t="str">
        <f ca="1">OFFSET(L!$C$1,MATCH("Declaration"&amp;ADDRESS(ROW(),COLUMN(),4),L!$A:$A,0)-1,SL,,)</f>
        <v>Answer the Following Questions at a Company Level</v>
      </c>
      <c r="C61" s="428"/>
      <c r="D61" s="428"/>
      <c r="E61" s="428"/>
      <c r="F61" s="428"/>
      <c r="G61" s="428"/>
      <c r="H61" s="428"/>
      <c r="I61" s="428"/>
      <c r="J61" s="428"/>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16" t="str">
        <f ca="1">D25</f>
        <v>Answer</v>
      </c>
      <c r="E62" s="416"/>
      <c r="F62" s="52"/>
      <c r="G62" s="416" t="str">
        <f ca="1">G25</f>
        <v>Comments</v>
      </c>
      <c r="H62" s="416" t="e">
        <f>HLOOKUP(SL,LT,$O62,0)</f>
        <v>#NAME?</v>
      </c>
      <c r="I62" s="41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371</v>
      </c>
      <c r="E63" s="374"/>
      <c r="F63" s="56"/>
      <c r="G63" s="362" t="s">
        <v>14068</v>
      </c>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17"/>
      <c r="H64" s="417"/>
      <c r="I64" s="417"/>
      <c r="J64" s="41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3" t="s">
        <v>371</v>
      </c>
      <c r="E65" s="374"/>
      <c r="F65" s="56"/>
      <c r="G65" s="413"/>
      <c r="H65" s="414"/>
      <c r="I65" s="414"/>
      <c r="J65" s="41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372</v>
      </c>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73" t="s">
        <v>372</v>
      </c>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3" t="s">
        <v>372</v>
      </c>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75" t="s">
        <v>372</v>
      </c>
      <c r="E73" s="377"/>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17"/>
      <c r="H74" s="417"/>
      <c r="I74" s="417"/>
      <c r="J74" s="41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73" t="s">
        <v>12572</v>
      </c>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29"/>
      <c r="H76" s="429"/>
      <c r="I76" s="429"/>
      <c r="J76" s="429"/>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3" t="s">
        <v>371</v>
      </c>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3" t="s">
        <v>371</v>
      </c>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27" t="str">
        <f>IF(OR($D$8="",$I$3=""),"","Click here to check required fields completion")</f>
        <v/>
      </c>
      <c r="C80" s="427"/>
      <c r="D80" s="427"/>
      <c r="E80" s="427"/>
      <c r="F80" s="427"/>
      <c r="G80" s="427"/>
      <c r="H80" s="427"/>
      <c r="I80" s="427"/>
      <c r="J80" s="42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25" t="str">
        <f ca="1">OFFSET(L!$C$1,MATCH("General"&amp;"Cpy",L!$A:$A,0)-1,SL,,)</f>
        <v>© 2020 Responsible Minerals Initiative. All rights reserved.</v>
      </c>
      <c r="B81" s="426"/>
      <c r="C81" s="426"/>
      <c r="D81" s="426"/>
      <c r="E81" s="426"/>
      <c r="F81" s="426"/>
      <c r="G81" s="426"/>
      <c r="H81" s="426"/>
      <c r="I81" s="426"/>
      <c r="J81" s="42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2" priority="64" stopIfTrue="1">
      <formula>OR($D$26="No",$D$26="Unknown")</formula>
    </cfRule>
    <cfRule type="expression" dxfId="91" priority="65" stopIfTrue="1">
      <formula>IF(D63="",TRUE)</formula>
    </cfRule>
  </conditionalFormatting>
  <conditionalFormatting sqref="D26:E26">
    <cfRule type="expression" dxfId="90" priority="116" stopIfTrue="1">
      <formula>IF($D$26="",TRUE)</formula>
    </cfRule>
  </conditionalFormatting>
  <conditionalFormatting sqref="D27:E27">
    <cfRule type="expression" dxfId="89" priority="123" stopIfTrue="1">
      <formula>IF($D$27="",TRUE)</formula>
    </cfRule>
  </conditionalFormatting>
  <conditionalFormatting sqref="D8:J8">
    <cfRule type="expression" dxfId="88" priority="130" stopIfTrue="1">
      <formula>IF($D$8="",TRUE)</formula>
    </cfRule>
  </conditionalFormatting>
  <conditionalFormatting sqref="D9:G9">
    <cfRule type="expression" dxfId="87" priority="131" stopIfTrue="1">
      <formula>IF($D$9="",TRUE)</formula>
    </cfRule>
  </conditionalFormatting>
  <conditionalFormatting sqref="D22:E22">
    <cfRule type="expression" dxfId="86" priority="138" stopIfTrue="1">
      <formula>IF($D$22="",TRUE)</formula>
    </cfRule>
  </conditionalFormatting>
  <conditionalFormatting sqref="D10:J10">
    <cfRule type="expression" dxfId="85" priority="35" stopIfTrue="1">
      <formula>IF($D$9=$Q$9,TRUE)</formula>
    </cfRule>
    <cfRule type="expression" dxfId="84" priority="145" stopIfTrue="1">
      <formula>IF(AND($D$10="",$D$9=$R$9),TRUE)</formula>
    </cfRule>
  </conditionalFormatting>
  <conditionalFormatting sqref="D34:E34 D40:E40 D46:E46 D52:E52 D58:E58">
    <cfRule type="expression" dxfId="83" priority="28" stopIfTrue="1">
      <formula>$P$28=""</formula>
    </cfRule>
  </conditionalFormatting>
  <conditionalFormatting sqref="D35:E35 D41:E41 D47:E47 D53:E53 D59:E59">
    <cfRule type="expression" dxfId="82" priority="143" stopIfTrue="1">
      <formula>$P$29=""</formula>
    </cfRule>
  </conditionalFormatting>
  <conditionalFormatting sqref="D34 D40 D46 D52 D58">
    <cfRule type="expression" dxfId="81" priority="141" stopIfTrue="1">
      <formula>IF(AND(OR($D$28="Yes",$D$28=""),D34=""),1,0)</formula>
    </cfRule>
  </conditionalFormatting>
  <conditionalFormatting sqref="D32:E32 D38:E38 D44:E44 D50:E50 D56:E56">
    <cfRule type="expression" dxfId="80" priority="32" stopIfTrue="1">
      <formula>IF(AND(OR($D$26="No",$D$26="Unknown"),D32=""),1,0)</formula>
    </cfRule>
    <cfRule type="expression" dxfId="79" priority="33" stopIfTrue="1">
      <formula>IF(AND(OR($D$26="Yes",$D$26=""),D32=""),1,0)</formula>
    </cfRule>
  </conditionalFormatting>
  <conditionalFormatting sqref="G73:J73">
    <cfRule type="expression" dxfId="78" priority="26" stopIfTrue="1">
      <formula>IF(AND($D$73="Yes, using other format (describe)",$G$73=""),TRUE)</formula>
    </cfRule>
  </conditionalFormatting>
  <conditionalFormatting sqref="D33:E33 D39:E39 D45:E45 D51:E51 D57:E57">
    <cfRule type="expression" dxfId="77" priority="139" stopIfTrue="1">
      <formula>$P$33=""</formula>
    </cfRule>
    <cfRule type="expression" dxfId="76" priority="140" stopIfTrue="1">
      <formula>IF(AND(OR($D$27="Yes",$D$27=""),D33=""),1,0)</formula>
    </cfRule>
  </conditionalFormatting>
  <conditionalFormatting sqref="D35:E35 D41:E41 D47:E47 D53:E53 D59:E59">
    <cfRule type="expression" dxfId="75" priority="144" stopIfTrue="1">
      <formula>IF(AND(OR($D$29="Yes",$D$29=""),D35=""),1,0)</formula>
    </cfRule>
  </conditionalFormatting>
  <conditionalFormatting sqref="D27 D33 D39 D45 D51 D57">
    <cfRule type="expression" dxfId="74" priority="13" stopIfTrue="1">
      <formula>IF($D$27="No",TRUE)</formula>
    </cfRule>
  </conditionalFormatting>
  <conditionalFormatting sqref="D28 D34 D40 D46 D52 D58">
    <cfRule type="expression" dxfId="73" priority="12">
      <formula>IF($D$28="No",TRUE)</formula>
    </cfRule>
  </conditionalFormatting>
  <conditionalFormatting sqref="D29 D35 D41 D47 D53 D59">
    <cfRule type="expression" dxfId="72" priority="11">
      <formula>IF($D$29="No",TRUE)</formula>
    </cfRule>
  </conditionalFormatting>
  <conditionalFormatting sqref="G63:J63">
    <cfRule type="expression" dxfId="71" priority="8">
      <formula>IF(AND($D$63="Yes",$G$63=""),TRUE)</formula>
    </cfRule>
  </conditionalFormatting>
  <conditionalFormatting sqref="G75:J75">
    <cfRule type="expression" dxfId="70" priority="7">
      <formula>IF(AND($D$75="Yes, using other format (describe)",$G$75=""),TRUE)</formula>
    </cfRule>
  </conditionalFormatting>
  <conditionalFormatting sqref="D21:J21">
    <cfRule type="expression" dxfId="69" priority="6" stopIfTrue="1">
      <formula>IF($D$21="",TRUE)</formula>
    </cfRule>
  </conditionalFormatting>
  <conditionalFormatting sqref="D15:J15">
    <cfRule type="expression" dxfId="68" priority="2" stopIfTrue="1">
      <formula>IF($D$15="",TRUE)</formula>
    </cfRule>
  </conditionalFormatting>
  <conditionalFormatting sqref="D16:J16">
    <cfRule type="expression" dxfId="67" priority="3" stopIfTrue="1">
      <formula>IF($D$16="",TRUE)</formula>
    </cfRule>
  </conditionalFormatting>
  <conditionalFormatting sqref="D17:J17">
    <cfRule type="expression" dxfId="66" priority="4" stopIfTrue="1">
      <formula>IF($D$17="",TRUE)</formula>
    </cfRule>
  </conditionalFormatting>
  <conditionalFormatting sqref="D18:J18">
    <cfRule type="expression" dxfId="65" priority="5" stopIfTrue="1">
      <formula>IF($D$18="",TRUE)</formula>
    </cfRule>
  </conditionalFormatting>
  <conditionalFormatting sqref="D20:J20">
    <cfRule type="expression" dxfId="64" priority="1" stopIfTrue="1">
      <formula>IF($D$20="",TRUE)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I2" zoomScaleNormal="100" workbookViewId="0">
      <pane ySplit="3" topLeftCell="A5" activePane="bottomLeft" state="frozen"/>
      <selection activeCell="B24" sqref="B24:J24"/>
      <selection pane="bottomLeft" activeCell="A5" sqref="A5:A11"/>
    </sheetView>
  </sheetViews>
  <sheetFormatPr baseColWidth="10"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30"/>
      <c r="K2" s="431"/>
      <c r="L2" s="431"/>
      <c r="M2" s="431"/>
      <c r="N2" s="431"/>
      <c r="O2" s="431"/>
      <c r="P2" s="209"/>
      <c r="Q2" s="210"/>
      <c r="R2" s="211"/>
      <c r="S2" s="211"/>
      <c r="T2" s="211"/>
      <c r="U2" s="165"/>
      <c r="V2" s="165"/>
      <c r="W2" s="166"/>
      <c r="X2" s="165"/>
      <c r="Y2" s="165"/>
      <c r="Z2" s="165"/>
      <c r="AH2" s="153" t="s">
        <v>371</v>
      </c>
    </row>
    <row r="3" spans="1:34" s="20" customFormat="1" ht="241.15" customHeight="1">
      <c r="A3" s="280"/>
      <c r="B3" s="432"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2"/>
      <c r="D3" s="432"/>
      <c r="E3" s="432"/>
      <c r="F3" s="212"/>
      <c r="G3" s="433" t="str">
        <f ca="1">OFFSET(L!$C$1,MATCH("General"&amp;"Cpy",L!$A:$A,0)-1,SL,,)</f>
        <v>© 2020 Responsible Minerals Initiative. All rights reserved.</v>
      </c>
      <c r="H3" s="433"/>
      <c r="I3" s="434"/>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t="s">
        <v>11999</v>
      </c>
      <c r="B5" s="191" t="str">
        <f ca="1">IF(LEN(A5)=0,"",INDEX('Smelter Look-up'!$A:$A,MATCH($A5,'Smelter Look-up'!$E:$E,0)))</f>
        <v>Cobalt</v>
      </c>
      <c r="C5" s="197" t="str">
        <f ca="1">IF(LEN(A5)=0,"",INDEX('Smelter Look-up'!$C:$C,MATCH($A5,'Smelter Look-up'!$E:$E,0)))</f>
        <v>Gem (Jiangsu) Cobalt Industry Co., Ltd.</v>
      </c>
      <c r="D5" s="191"/>
      <c r="E5" s="191" t="str">
        <f ca="1">IF(ISERROR($V5),"",OFFSET('Smelter Look-up'!$D$4,$V5-4,0)&amp;"")</f>
        <v>CHINA</v>
      </c>
      <c r="F5" s="191" t="str">
        <f ca="1">IF(ISERROR($V5),"",OFFSET('Smelter Look-up'!$E$4,$V5-4,0))</f>
        <v>CID003209</v>
      </c>
      <c r="G5" s="191" t="str">
        <f ca="1">IF(C5=$X$4,"Enter smelter details",IF(ISERROR($V5),"",OFFSET('Smelter Look-up'!$F$4,$V5-4,0)))</f>
        <v>RMI</v>
      </c>
      <c r="H5" s="192">
        <f ca="1">IF(ISERROR($V5),"",OFFSET('Smelter Look-up'!$G$4,$V5-4,0))</f>
        <v>0</v>
      </c>
      <c r="I5" s="193" t="str">
        <f ca="1">IF(ISERROR($V5),"",OFFSET('Smelter Look-up'!$H$4,$V5-4,0))</f>
        <v>Taixing</v>
      </c>
      <c r="J5" s="193" t="str">
        <f ca="1">IF(ISERROR($V5),"",OFFSET('Smelter Look-up'!$I$4,$V5-4,0))</f>
        <v>Jiangsu Sheng</v>
      </c>
      <c r="K5" s="195"/>
      <c r="L5" s="195"/>
      <c r="M5" s="195"/>
      <c r="N5" s="195"/>
      <c r="O5" s="195"/>
      <c r="P5" s="194"/>
      <c r="Q5" s="196"/>
      <c r="R5" s="191" t="str">
        <f ca="1">IF(ISERROR($V5),"",OFFSET('Smelter Look-up'!$C$4,$V5-4,0)&amp;"")</f>
        <v>Gem (Jiangsu) Cobalt Industry Co., Ltd.</v>
      </c>
      <c r="S5" s="200" t="str">
        <f t="shared" ref="S5:S64" ca="1" si="0">IF(B5="","",IF(ISERROR(MATCH($E5,CL,0)),"Unknown",INDIRECT("'C'!$A$"&amp;MATCH($E5,CL,0)+1)))</f>
        <v>CN</v>
      </c>
      <c r="T5" s="200" t="str">
        <f ca="1">IF(B5="","",IF(ISERROR(MATCH($J5,SorP!$B$1:$B$6230,0)),"",INDIRECT("'SorP'!$A$"&amp;MATCH($J5,SorP!$B$1:$B$6230,0))))</f>
        <v>CN-JS</v>
      </c>
      <c r="U5" s="217"/>
      <c r="V5" s="218">
        <f ca="1">IF(C5="",NA(),MATCH($B5&amp;$C5,'Smelter Look-up'!$J:$J,0))</f>
        <v>19</v>
      </c>
      <c r="W5" s="219"/>
      <c r="X5" s="219">
        <f t="shared" ref="X5:X63" ca="1" si="1">IF(AND(C5="Smelter not listed",OR(LEN(D5)=0,LEN(E5)=0)),1,0)</f>
        <v>0</v>
      </c>
      <c r="Y5" s="219"/>
      <c r="Z5" s="219"/>
      <c r="AB5" s="220" t="str">
        <f t="shared" ref="AB5:AB63" ca="1" si="2">B5&amp;C5</f>
        <v>CobaltGem (Jiangsu) Cobalt Industry Co., Ltd.</v>
      </c>
    </row>
    <row r="6" spans="1:34" s="220" customFormat="1" ht="20.25">
      <c r="A6" s="276" t="s">
        <v>13821</v>
      </c>
      <c r="B6" s="191" t="str">
        <f ca="1">IF(LEN(A6)=0,"",INDEX('Smelter Look-up'!$A:$A,MATCH($A6,'Smelter Look-up'!$E:$E,0)))</f>
        <v>Cobalt</v>
      </c>
      <c r="C6" s="197" t="str">
        <f ca="1">IF(LEN(A6)=0,"",INDEX('Smelter Look-up'!$C:$C,MATCH($A6,'Smelter Look-up'!$E:$E,0)))</f>
        <v>Sumitomo Metal Mining</v>
      </c>
      <c r="D6" s="191"/>
      <c r="E6" s="191" t="str">
        <f ca="1">IF(ISERROR($V6),"",OFFSET('Smelter Look-up'!$D$4,$V6-4,0)&amp;"")</f>
        <v>JAPAN</v>
      </c>
      <c r="F6" s="191" t="str">
        <f ca="1">IF(ISERROR($V6),"",OFFSET('Smelter Look-up'!$E$4,$V6-4,0))</f>
        <v>CID003278</v>
      </c>
      <c r="G6" s="191" t="str">
        <f ca="1">IF(C6=$X$4,"Enter smelter details",IF(ISERROR($V6),"",OFFSET('Smelter Look-up'!$F$4,$V6-4,0)))</f>
        <v>RMI</v>
      </c>
      <c r="H6" s="192">
        <f ca="1">IF(ISERROR($V6),"",OFFSET('Smelter Look-up'!$G$4,$V6-4,0))</f>
        <v>0</v>
      </c>
      <c r="I6" s="193" t="str">
        <f ca="1">IF(ISERROR($V6),"",OFFSET('Smelter Look-up'!$H$4,$V6-4,0))</f>
        <v>Tokyo</v>
      </c>
      <c r="J6" s="193" t="str">
        <f ca="1">IF(ISERROR($V6),"",OFFSET('Smelter Look-up'!$I$4,$V6-4,0))</f>
        <v>Tokyo</v>
      </c>
      <c r="K6" s="195"/>
      <c r="L6" s="195"/>
      <c r="M6" s="195"/>
      <c r="N6" s="195"/>
      <c r="O6" s="195"/>
      <c r="P6" s="194"/>
      <c r="Q6" s="196"/>
      <c r="R6" s="191" t="str">
        <f ca="1">IF(ISERROR($V6),"",OFFSET('Smelter Look-up'!$C$4,$V6-4,0)&amp;"")</f>
        <v>Sumitomo Metal Mining</v>
      </c>
      <c r="S6" s="200" t="str">
        <f t="shared" ca="1" si="0"/>
        <v>JP</v>
      </c>
      <c r="T6" s="200" t="str">
        <f ca="1">IF(B6="","",IF(ISERROR(MATCH($J6,SorP!$B$1:$B$6230,0)),"",INDIRECT("'SorP'!$A$"&amp;MATCH($J6,SorP!$B$1:$B$6230,0))))</f>
        <v>JP-13</v>
      </c>
      <c r="U6" s="217"/>
      <c r="V6" s="218">
        <f ca="1">IF(C6="",NA(),MATCH($B6&amp;$C6,'Smelter Look-up'!$J:$J,0))</f>
        <v>77</v>
      </c>
      <c r="W6" s="219"/>
      <c r="X6" s="219">
        <f t="shared" ca="1" si="1"/>
        <v>0</v>
      </c>
      <c r="Y6" s="219"/>
      <c r="Z6" s="219"/>
      <c r="AB6" s="220" t="str">
        <f t="shared" ca="1" si="2"/>
        <v>CobaltSumitomo Metal Mining</v>
      </c>
    </row>
    <row r="7" spans="1:34" s="220" customFormat="1" ht="20.25">
      <c r="A7" s="276" t="s">
        <v>13821</v>
      </c>
      <c r="B7" s="191" t="str">
        <f ca="1">IF(LEN(A7)=0,"",INDEX('Smelter Look-up'!$A:$A,MATCH($A7,'Smelter Look-up'!$E:$E,0)))</f>
        <v>Cobalt</v>
      </c>
      <c r="C7" s="197" t="str">
        <f ca="1">IF(LEN(A7)=0,"",INDEX('Smelter Look-up'!$C:$C,MATCH($A7,'Smelter Look-up'!$E:$E,0)))</f>
        <v>Sumitomo Metal Mining</v>
      </c>
      <c r="D7" s="191"/>
      <c r="E7" s="191" t="str">
        <f ca="1">IF(ISERROR($V7),"",OFFSET('Smelter Look-up'!$D$4,$V7-4,0)&amp;"")</f>
        <v>JAPAN</v>
      </c>
      <c r="F7" s="191" t="str">
        <f ca="1">IF(ISERROR($V7),"",OFFSET('Smelter Look-up'!$E$4,$V7-4,0))</f>
        <v>CID003278</v>
      </c>
      <c r="G7" s="191" t="str">
        <f ca="1">IF(C7=$X$4,"Enter smelter details",IF(ISERROR($V7),"",OFFSET('Smelter Look-up'!$F$4,$V7-4,0)))</f>
        <v>RMI</v>
      </c>
      <c r="H7" s="192">
        <f ca="1">IF(ISERROR($V7),"",OFFSET('Smelter Look-up'!$G$4,$V7-4,0))</f>
        <v>0</v>
      </c>
      <c r="I7" s="193" t="str">
        <f ca="1">IF(ISERROR($V7),"",OFFSET('Smelter Look-up'!$H$4,$V7-4,0))</f>
        <v>Tokyo</v>
      </c>
      <c r="J7" s="193" t="str">
        <f ca="1">IF(ISERROR($V7),"",OFFSET('Smelter Look-up'!$I$4,$V7-4,0))</f>
        <v>Tokyo</v>
      </c>
      <c r="K7" s="195"/>
      <c r="L7" s="195"/>
      <c r="M7" s="195"/>
      <c r="N7" s="195"/>
      <c r="O7" s="195"/>
      <c r="P7" s="194"/>
      <c r="Q7" s="196"/>
      <c r="R7" s="191" t="str">
        <f ca="1">IF(ISERROR($V7),"",OFFSET('Smelter Look-up'!$C$4,$V7-4,0)&amp;"")</f>
        <v>Sumitomo Metal Mining</v>
      </c>
      <c r="S7" s="200" t="str">
        <f t="shared" ca="1" si="0"/>
        <v>JP</v>
      </c>
      <c r="T7" s="200" t="str">
        <f ca="1">IF(B7="","",IF(ISERROR(MATCH($J7,SorP!$B$1:$B$6230,0)),"",INDIRECT("'SorP'!$A$"&amp;MATCH($J7,SorP!$B$1:$B$6230,0))))</f>
        <v>JP-13</v>
      </c>
      <c r="U7" s="217"/>
      <c r="V7" s="218">
        <f ca="1">IF(C7="",NA(),MATCH($B7&amp;$C7,'Smelter Look-up'!$J:$J,0))</f>
        <v>77</v>
      </c>
      <c r="W7" s="219"/>
      <c r="X7" s="219">
        <f t="shared" ca="1" si="1"/>
        <v>0</v>
      </c>
      <c r="Y7" s="219"/>
      <c r="Z7" s="219"/>
      <c r="AB7" s="220" t="str">
        <f t="shared" ca="1" si="2"/>
        <v>CobaltSumitomo Metal Mining</v>
      </c>
    </row>
    <row r="8" spans="1:34" s="220" customFormat="1" ht="25.5">
      <c r="A8" s="276" t="s">
        <v>12254</v>
      </c>
      <c r="B8" s="191" t="str">
        <f ca="1">IF(LEN(A8)=0,"",INDEX('Smelter Look-up'!$A:$A,MATCH($A8,'Smelter Look-up'!$E:$E,0)))</f>
        <v>Cobalt</v>
      </c>
      <c r="C8" s="197" t="str">
        <f ca="1">IF(LEN(A8)=0,"",INDEX('Smelter Look-up'!$C:$C,MATCH($A8,'Smelter Look-up'!$E:$E,0)))</f>
        <v>Guangxi Yinyi Advanced Material Co., Ltd.</v>
      </c>
      <c r="D8" s="191"/>
      <c r="E8" s="191" t="str">
        <f ca="1">IF(ISERROR($V8),"",OFFSET('Smelter Look-up'!$D$4,$V8-4,0)&amp;"")</f>
        <v>CHINA</v>
      </c>
      <c r="F8" s="191" t="str">
        <f ca="1">IF(ISERROR($V8),"",OFFSET('Smelter Look-up'!$E$4,$V8-4,0))</f>
        <v>CID003213</v>
      </c>
      <c r="G8" s="191" t="str">
        <f ca="1">IF(C8=$X$4,"Enter smelter details",IF(ISERROR($V8),"",OFFSET('Smelter Look-up'!$F$4,$V8-4,0)))</f>
        <v>RMI</v>
      </c>
      <c r="H8" s="192">
        <f ca="1">IF(ISERROR($V8),"",OFFSET('Smelter Look-up'!$G$4,$V8-4,0))</f>
        <v>0</v>
      </c>
      <c r="I8" s="193" t="str">
        <f ca="1">IF(ISERROR($V8),"",OFFSET('Smelter Look-up'!$H$4,$V8-4,0))</f>
        <v>Yulin</v>
      </c>
      <c r="J8" s="193" t="str">
        <f ca="1">IF(ISERROR($V8),"",OFFSET('Smelter Look-up'!$I$4,$V8-4,0))</f>
        <v>Guangxi Zhuangzu Zizhiqu</v>
      </c>
      <c r="K8" s="195"/>
      <c r="L8" s="195"/>
      <c r="M8" s="195"/>
      <c r="N8" s="195"/>
      <c r="O8" s="195"/>
      <c r="P8" s="194"/>
      <c r="Q8" s="196"/>
      <c r="R8" s="191" t="str">
        <f ca="1">IF(ISERROR($V8),"",OFFSET('Smelter Look-up'!$C$4,$V8-4,0)&amp;"")</f>
        <v>Guangxi Yinyi Advanced Material Co., Ltd.</v>
      </c>
      <c r="S8" s="200" t="str">
        <f t="shared" ca="1" si="0"/>
        <v>CN</v>
      </c>
      <c r="T8" s="200" t="str">
        <f ca="1">IF(B8="","",IF(ISERROR(MATCH($J8,SorP!$B$1:$B$6230,0)),"",INDIRECT("'SorP'!$A$"&amp;MATCH($J8,SorP!$B$1:$B$6230,0))))</f>
        <v>CN-GX</v>
      </c>
      <c r="U8" s="217"/>
      <c r="V8" s="218">
        <f ca="1">IF(C8="",NA(),MATCH($B8&amp;$C8,'Smelter Look-up'!$J:$J,0))</f>
        <v>22</v>
      </c>
      <c r="W8" s="219"/>
      <c r="X8" s="219">
        <f t="shared" ca="1" si="1"/>
        <v>0</v>
      </c>
      <c r="Y8" s="219"/>
      <c r="Z8" s="219"/>
      <c r="AB8" s="220" t="str">
        <f t="shared" ca="1" si="2"/>
        <v>CobaltGuangxi Yinyi Advanced Material Co., Ltd.</v>
      </c>
    </row>
    <row r="9" spans="1:34" s="220" customFormat="1" ht="25.5">
      <c r="A9" s="276" t="s">
        <v>12253</v>
      </c>
      <c r="B9" s="191" t="str">
        <f ca="1">IF(LEN(A9)=0,"",INDEX('Smelter Look-up'!$A:$A,MATCH($A9,'Smelter Look-up'!$E:$E,0)))</f>
        <v>Cobalt</v>
      </c>
      <c r="C9" s="197" t="str">
        <f ca="1">IF(LEN(A9)=0,"",INDEX('Smelter Look-up'!$C:$C,MATCH($A9,'Smelter Look-up'!$E:$E,0)))</f>
        <v>Umicore Finland Oy</v>
      </c>
      <c r="D9" s="191"/>
      <c r="E9" s="191" t="str">
        <f ca="1">IF(ISERROR($V9),"",OFFSET('Smelter Look-up'!$D$4,$V9-4,0)&amp;"")</f>
        <v>FINLAND</v>
      </c>
      <c r="F9" s="191" t="str">
        <f ca="1">IF(ISERROR($V9),"",OFFSET('Smelter Look-up'!$E$4,$V9-4,0))</f>
        <v>CID003226</v>
      </c>
      <c r="G9" s="191" t="str">
        <f ca="1">IF(C9=$X$4,"Enter smelter details",IF(ISERROR($V9),"",OFFSET('Smelter Look-up'!$F$4,$V9-4,0)))</f>
        <v>RMI</v>
      </c>
      <c r="H9" s="192">
        <f ca="1">IF(ISERROR($V9),"",OFFSET('Smelter Look-up'!$G$4,$V9-4,0))</f>
        <v>0</v>
      </c>
      <c r="I9" s="193" t="str">
        <f ca="1">IF(ISERROR($V9),"",OFFSET('Smelter Look-up'!$H$4,$V9-4,0))</f>
        <v>Kokkola</v>
      </c>
      <c r="J9" s="193" t="str">
        <f ca="1">IF(ISERROR($V9),"",OFFSET('Smelter Look-up'!$I$4,$V9-4,0))</f>
        <v>Mellersta Österbotten</v>
      </c>
      <c r="K9" s="195"/>
      <c r="L9" s="195"/>
      <c r="M9" s="195"/>
      <c r="N9" s="195"/>
      <c r="O9" s="195"/>
      <c r="P9" s="194"/>
      <c r="Q9" s="196"/>
      <c r="R9" s="191" t="str">
        <f ca="1">IF(ISERROR($V9),"",OFFSET('Smelter Look-up'!$C$4,$V9-4,0)&amp;"")</f>
        <v>Umicore Finland Oy</v>
      </c>
      <c r="S9" s="200" t="str">
        <f t="shared" ca="1" si="0"/>
        <v>FI</v>
      </c>
      <c r="T9" s="200" t="str">
        <f ca="1">IF(B9="","",IF(ISERROR(MATCH($J9,SorP!$B$1:$B$6230,0)),"",INDIRECT("'SorP'!$A$"&amp;MATCH($J9,SorP!$B$1:$B$6230,0))))</f>
        <v>FI-07</v>
      </c>
      <c r="U9" s="217"/>
      <c r="V9" s="218">
        <f ca="1">IF(C9="",NA(),MATCH($B9&amp;$C9,'Smelter Look-up'!$J:$J,0))</f>
        <v>84</v>
      </c>
      <c r="W9" s="219"/>
      <c r="X9" s="219">
        <f t="shared" ca="1" si="1"/>
        <v>0</v>
      </c>
      <c r="Y9" s="219"/>
      <c r="Z9" s="219"/>
      <c r="AB9" s="220" t="str">
        <f t="shared" ca="1" si="2"/>
        <v>CobaltUmicore Finland Oy</v>
      </c>
    </row>
    <row r="10" spans="1:34" s="220" customFormat="1" ht="20.25">
      <c r="A10" s="276" t="s">
        <v>12522</v>
      </c>
      <c r="B10" s="191" t="str">
        <f ca="1">IF(LEN(A10)=0,"",INDEX('Smelter Look-up'!$A:$A,MATCH($A10,'Smelter Look-up'!$E:$E,0)))</f>
        <v>Cobalt</v>
      </c>
      <c r="C10" s="197" t="str">
        <f ca="1">IF(LEN(A10)=0,"",INDEX('Smelter Look-up'!$C:$C,MATCH($A10,'Smelter Look-up'!$E:$E,0)))</f>
        <v>Zhejiang Huayou Cobalt Company Limited</v>
      </c>
      <c r="D10" s="191"/>
      <c r="E10" s="191" t="str">
        <f ca="1">IF(ISERROR($V10),"",OFFSET('Smelter Look-up'!$D$4,$V10-4,0)&amp;"")</f>
        <v>CHINA</v>
      </c>
      <c r="F10" s="191" t="str">
        <f ca="1">IF(ISERROR($V10),"",OFFSET('Smelter Look-up'!$E$4,$V10-4,0))</f>
        <v>CID003225</v>
      </c>
      <c r="G10" s="191" t="str">
        <f ca="1">IF(C10=$X$4,"Enter smelter details",IF(ISERROR($V10),"",OFFSET('Smelter Look-up'!$F$4,$V10-4,0)))</f>
        <v>RMI</v>
      </c>
      <c r="H10" s="192">
        <f ca="1">IF(ISERROR($V10),"",OFFSET('Smelter Look-up'!$G$4,$V10-4,0))</f>
        <v>0</v>
      </c>
      <c r="I10" s="193" t="str">
        <f ca="1">IF(ISERROR($V10),"",OFFSET('Smelter Look-up'!$H$4,$V10-4,0))</f>
        <v>Tongxiang</v>
      </c>
      <c r="J10" s="193" t="str">
        <f ca="1">IF(ISERROR($V10),"",OFFSET('Smelter Look-up'!$I$4,$V10-4,0))</f>
        <v>Zhejiang Sheng</v>
      </c>
      <c r="K10" s="195"/>
      <c r="L10" s="195"/>
      <c r="M10" s="195"/>
      <c r="N10" s="195"/>
      <c r="O10" s="195"/>
      <c r="P10" s="194"/>
      <c r="Q10" s="196"/>
      <c r="R10" s="191" t="str">
        <f ca="1">IF(ISERROR($V10),"",OFFSET('Smelter Look-up'!$C$4,$V10-4,0)&amp;"")</f>
        <v>Zhejiang Huayou Cobalt Company Limited</v>
      </c>
      <c r="S10" s="200" t="str">
        <f t="shared" ca="1" si="0"/>
        <v>CN</v>
      </c>
      <c r="T10" s="200" t="str">
        <f ca="1">IF(B10="","",IF(ISERROR(MATCH($J10,SorP!$B$1:$B$6230,0)),"",INDIRECT("'SorP'!$A$"&amp;MATCH($J10,SorP!$B$1:$B$6230,0))))</f>
        <v>CN-ZJ</v>
      </c>
      <c r="U10" s="217"/>
      <c r="V10" s="218">
        <f ca="1">IF(C10="",NA(),MATCH($B10&amp;$C10,'Smelter Look-up'!$J:$J,0))</f>
        <v>90</v>
      </c>
      <c r="W10" s="219"/>
      <c r="X10" s="219">
        <f t="shared" ca="1" si="1"/>
        <v>0</v>
      </c>
      <c r="Y10" s="219"/>
      <c r="Z10" s="219"/>
      <c r="AB10" s="220" t="str">
        <f t="shared" ca="1" si="2"/>
        <v>CobaltZhejiang Huayou Cobalt Company Limited</v>
      </c>
    </row>
    <row r="11" spans="1:34" s="220" customFormat="1" ht="20.25">
      <c r="A11" s="276" t="s">
        <v>12546</v>
      </c>
      <c r="B11" s="191" t="str">
        <f ca="1">IF(LEN(A11)=0,"",INDEX('Smelter Look-up'!$A:$A,MATCH($A11,'Smelter Look-up'!$E:$E,0)))</f>
        <v>Cobalt</v>
      </c>
      <c r="C11" s="197" t="str">
        <f ca="1">IF(LEN(A11)=0,"",INDEX('Smelter Look-up'!$C:$C,MATCH($A11,'Smelter Look-up'!$E:$E,0)))</f>
        <v>Glencore Nikkelverk Refinery</v>
      </c>
      <c r="D11" s="191"/>
      <c r="E11" s="191" t="str">
        <f ca="1">IF(ISERROR($V11),"",OFFSET('Smelter Look-up'!$D$4,$V11-4,0)&amp;"")</f>
        <v>NORWAY</v>
      </c>
      <c r="F11" s="191" t="str">
        <f ca="1">IF(ISERROR($V11),"",OFFSET('Smelter Look-up'!$E$4,$V11-4,0))</f>
        <v>CID003403</v>
      </c>
      <c r="G11" s="191" t="str">
        <f ca="1">IF(C11=$X$4,"Enter smelter details",IF(ISERROR($V11),"",OFFSET('Smelter Look-up'!$F$4,$V11-4,0)))</f>
        <v>RMI</v>
      </c>
      <c r="H11" s="192">
        <f ca="1">IF(ISERROR($V11),"",OFFSET('Smelter Look-up'!$G$4,$V11-4,0))</f>
        <v>0</v>
      </c>
      <c r="I11" s="193" t="str">
        <f ca="1">IF(ISERROR($V11),"",OFFSET('Smelter Look-up'!$H$4,$V11-4,0))</f>
        <v>Kristiansand</v>
      </c>
      <c r="J11" s="193" t="str">
        <f ca="1">IF(ISERROR($V11),"",OFFSET('Smelter Look-up'!$I$4,$V11-4,0))</f>
        <v>Aust-Agder</v>
      </c>
      <c r="K11" s="195"/>
      <c r="L11" s="195"/>
      <c r="M11" s="195"/>
      <c r="N11" s="195"/>
      <c r="O11" s="195"/>
      <c r="P11" s="194"/>
      <c r="Q11" s="196"/>
      <c r="R11" s="191" t="str">
        <f ca="1">IF(ISERROR($V11),"",OFFSET('Smelter Look-up'!$C$4,$V11-4,0)&amp;"")</f>
        <v>Glencore Nikkelverk Refinery</v>
      </c>
      <c r="S11" s="200" t="str">
        <f t="shared" ca="1" si="0"/>
        <v>NO</v>
      </c>
      <c r="T11" s="200" t="str">
        <f ca="1">IF(B11="","",IF(ISERROR(MATCH($J11,SorP!$B$1:$B$6230,0)),"",INDIRECT("'SorP'!$A$"&amp;MATCH($J11,SorP!$B$1:$B$6230,0))))</f>
        <v>NO-09</v>
      </c>
      <c r="U11" s="217"/>
      <c r="V11" s="218">
        <f ca="1">IF(C11="",NA(),MATCH($B11&amp;$C11,'Smelter Look-up'!$J:$J,0))</f>
        <v>20</v>
      </c>
      <c r="W11" s="219"/>
      <c r="X11" s="219">
        <f t="shared" ca="1" si="1"/>
        <v>0</v>
      </c>
      <c r="Y11" s="219"/>
      <c r="Z11" s="219"/>
      <c r="AB11" s="220" t="str">
        <f t="shared" ca="1" si="2"/>
        <v>CobaltGlencore Nikkelverk Refinery</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baseColWidth="10"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35" t="str">
        <f ca="1">OFFSET(L!$C$1,MATCH("Checker"&amp;ADDRESS(ROW(),COLUMN(),4),L!$A:$A,0)-1,SL,,)</f>
        <v>To ensure all required fields have been populated before submitting to your customers review form for any line items highlighted in red</v>
      </c>
      <c r="B1" s="435"/>
      <c r="C1" s="435"/>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 ca="1">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Micro Crystal AG</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Fritz Burkhalter</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fritz.burkhalter@microcrystal.ch</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+41 32 655 70 88</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Fritz Burkhalter</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fritz.burkhalter@microcrystal.ch</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+41 32 655 70 88</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44243</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No</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Yes</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1</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Yes</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t="str">
        <f>Declaration!G63</f>
        <v>VA-1101 (Principles of Conduct)</v>
      </c>
      <c r="C46" s="90" t="str">
        <f ca="1">IF(H46=1,J46,I46)</f>
        <v>Complete</v>
      </c>
      <c r="D46" s="96" t="str">
        <f>IF(H46=1,"Click here to specify URL for question (A)","")</f>
        <v/>
      </c>
      <c r="E46" s="74"/>
      <c r="F46" s="95">
        <f>IF(AND(F45=1,B45="Yes"),1,0)</f>
        <v>1</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No</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9" t="str">
        <f ca="1">IF(H57=0,"","Click here to provide smelter information")</f>
        <v/>
      </c>
      <c r="E57" s="74" t="s">
        <v>744</v>
      </c>
      <c r="F57" s="95">
        <f>F$45</f>
        <v>1</v>
      </c>
      <c r="G57" s="71">
        <f ca="1">IF(AND(COUNTIF(SmelterIdetifiedForMetal,"Cobalt")&gt;0,COUNTIF('Smelter List'!AB$5:AB$2500,"Cobalt?*")&gt;0),0,1)</f>
        <v>0</v>
      </c>
      <c r="H57" s="72">
        <f ca="1">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 ca="1">IF(COUNTIF('Smelter List'!C5:C9,"")&lt;10,0,1)</f>
        <v>0</v>
      </c>
      <c r="H58" s="72" t="e">
        <f ca="1">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 ca="1">IF(COUNTIF('Smelter List'!C5:C10,"")&lt;10,0,1)</f>
        <v>0</v>
      </c>
      <c r="H59" s="72" t="e">
        <f ca="1">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 ca="1">IF(COUNTIF('Smelter List'!C5:C11,"")&lt;10,0,1)</f>
        <v>0</v>
      </c>
      <c r="H60" s="72" t="e">
        <f ca="1">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 ca="1">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7" t="str">
        <f ca="1">OFFSET(L!$C$1,MATCH("Product List"&amp;ADDRESS(ROW(),COLUMN(),4),L!$A:$A,0)-1,SL,,)</f>
        <v>Completion required only if reporting level "Product (or List of Products)" selected on the 'Declaration' worksheet.</v>
      </c>
      <c r="B1" s="438"/>
      <c r="C1" s="438"/>
      <c r="D1" s="438"/>
      <c r="E1" s="126"/>
    </row>
    <row r="2" spans="1:35">
      <c r="A2" s="23"/>
      <c r="B2" s="128"/>
      <c r="C2" s="128"/>
      <c r="D2"/>
      <c r="E2" s="24"/>
    </row>
    <row r="3" spans="1:35">
      <c r="A3" s="23"/>
      <c r="B3" s="128"/>
      <c r="C3" s="128"/>
      <c r="D3" s="128"/>
      <c r="E3" s="24"/>
    </row>
    <row r="4" spans="1:35" ht="15.75" customHeight="1">
      <c r="A4" s="23"/>
      <c r="B4" s="436" t="s">
        <v>484</v>
      </c>
      <c r="C4" s="436"/>
      <c r="D4" s="436"/>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9" t="str">
        <f ca="1">OFFSET(L!$C$1,MATCH("General"&amp;"Cpy",L!$A:$A,0)-1,SL,,)</f>
        <v>© 2020 Responsible Minerals Initiative. All rights reserved.</v>
      </c>
      <c r="C1001" s="439"/>
      <c r="D1001" s="439"/>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Normal="100" workbookViewId="0">
      <pane ySplit="4" topLeftCell="A5" activePane="bottomLeft" state="frozen"/>
      <selection activeCell="B24" sqref="B24:J24"/>
      <selection pane="bottomLeft" sqref="A1:G1"/>
    </sheetView>
  </sheetViews>
  <sheetFormatPr baseColWidth="10"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4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0"/>
      <c r="C1" s="440"/>
      <c r="D1" s="440"/>
      <c r="E1" s="440"/>
      <c r="F1" s="440"/>
      <c r="G1" s="440"/>
    </row>
    <row r="2" spans="1:13">
      <c r="A2" s="441"/>
      <c r="B2" s="441"/>
      <c r="C2" s="441"/>
      <c r="D2" s="441"/>
      <c r="E2" s="441"/>
      <c r="F2" s="441"/>
      <c r="G2" s="441"/>
      <c r="H2" s="441"/>
      <c r="I2" s="441"/>
    </row>
    <row r="3" spans="1:13">
      <c r="A3" s="441"/>
      <c r="B3" s="441"/>
      <c r="C3" s="441"/>
      <c r="D3" s="441"/>
      <c r="E3" s="441"/>
      <c r="F3" s="441"/>
      <c r="G3" s="441"/>
      <c r="H3" s="441"/>
      <c r="I3" s="441"/>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baseColWidth="10"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42.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99.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20">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7">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28">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13.75">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85.2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28">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99">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85.2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14">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7">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7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5.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purl.org/dc/dcmitype/"/>
    <ds:schemaRef ds:uri="98893d5f-232f-4f98-b444-edffba233996"/>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a54701f6-876b-4337-a24e-543e1bd311e6"/>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Burkhalter, Fritz</cp:lastModifiedBy>
  <cp:lastPrinted>2015-04-21T20:47:43Z</cp:lastPrinted>
  <dcterms:created xsi:type="dcterms:W3CDTF">2010-06-21T21:00:23Z</dcterms:created>
  <dcterms:modified xsi:type="dcterms:W3CDTF">2021-02-16T12:48:23Z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